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onat\Downloads\"/>
    </mc:Choice>
  </mc:AlternateContent>
  <xr:revisionPtr revIDLastSave="0" documentId="13_ncr:1_{F75E56F3-2DE8-4F44-B712-ED3C44461314}" xr6:coauthVersionLast="47" xr6:coauthVersionMax="47" xr10:uidLastSave="{00000000-0000-0000-0000-000000000000}"/>
  <bookViews>
    <workbookView xWindow="-108" yWindow="-108" windowWidth="23256" windowHeight="12456" xr2:uid="{00000000-000D-0000-FFFF-FFFF00000000}"/>
  </bookViews>
  <sheets>
    <sheet name="About" sheetId="2" r:id="rId1"/>
    <sheet name="1_Solver" sheetId="8" r:id="rId2"/>
    <sheet name="2_Complex_process_issue" sheetId="9" r:id="rId3"/>
    <sheet name="3 - Question" sheetId="3" r:id="rId4"/>
    <sheet name="3 - Data Simulation" sheetId="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10A_11A" localSheetId="0">'[1]4_rental_professionals'!$C$6</definedName>
    <definedName name="_10A_11A">'[2]4_rental_professionals'!$C$6</definedName>
    <definedName name="_10mm_machine_1">'[3]4_Cable_Manufacturing'!$B$11</definedName>
    <definedName name="_10mm_Machine_2">'[3]4_Cable_Manufacturing'!$C$11</definedName>
    <definedName name="_10mm_machine_2_prod">#REF!</definedName>
    <definedName name="_10mm_min__km">'[3]4_Cable_Manufacturing'!$E$18</definedName>
    <definedName name="_10mm_production_capacity">'[3]4_Cable_Manufacturing-validatio'!$F$16</definedName>
    <definedName name="_10mm_total_produced">#REF!</definedName>
    <definedName name="_11A_Noon">#REF!</definedName>
    <definedName name="_15mm_Machine_1">'[3]4_Cable_Manufacturing'!$D$11</definedName>
    <definedName name="_15mm_Machine_2">'[3]4_Cable_Manufacturing'!$E$11</definedName>
    <definedName name="_15mm_machine_2_prod">#REF!</definedName>
    <definedName name="_15mm_min__km">'[3]4_Cable_Manufacturing'!$E$19</definedName>
    <definedName name="_15mm_production_capacity">'[3]4_Cable_Manufacturing-validatio'!$F$17</definedName>
    <definedName name="_15mm_total_produced">#REF!</definedName>
    <definedName name="_1P_2P">#REF!</definedName>
    <definedName name="_2P_3P">#REF!</definedName>
    <definedName name="_3P_4P">#REF!</definedName>
    <definedName name="_4P_5P">#REF!</definedName>
    <definedName name="_5P_6P">#REF!</definedName>
    <definedName name="_6P___7P">#REF!</definedName>
    <definedName name="_8A_9A" localSheetId="0">'[1]4_rental_professionals'!$C$4</definedName>
    <definedName name="_8A_9A">'[2]4_rental_professionals'!$C$4</definedName>
    <definedName name="_9A_10A" localSheetId="0">'[1]4_rental_professionals'!$C$5</definedName>
    <definedName name="_9A_10A">'[2]4_rental_professionals'!$C$5</definedName>
    <definedName name="Additional_hours_Louisiana" localSheetId="0">'[1]1_sugar_refinement'!$B$26</definedName>
    <definedName name="Additional_hours_Louisiana">'[2]1_sugar_refinement'!$B$26</definedName>
    <definedName name="Additional_hours_Toronto" localSheetId="0">'[1]1_sugar_refinement'!$B$27</definedName>
    <definedName name="Additional_hours_Toronto">'[2]1_sugar_refinement'!$B$27</definedName>
    <definedName name="Additional_trucks">'[4]1_greenleaf_organic'!$L$40</definedName>
    <definedName name="Albuquerque_Production_Cost">'[4]1_greenleaf_organic'!$C$39</definedName>
    <definedName name="Alt_max_shipment">'[4]1_greenleaf_organic'!$H$10</definedName>
    <definedName name="Amount_of_Strawberries__lbs" localSheetId="0">'[1]2_berries_hood'!$B$5:$D$5</definedName>
    <definedName name="Amount_of_Strawberries__lbs">'[5]2_berries_hood'!$B$5:$D$5</definedName>
    <definedName name="amt_1">#REF!</definedName>
    <definedName name="amt_2">#REF!</definedName>
    <definedName name="amt_3">#REF!</definedName>
    <definedName name="amt_4">#REF!</definedName>
    <definedName name="Annual_printer_rental">'[3]1_Print_Shop'!$B$5</definedName>
    <definedName name="Annual_profit">[6]Print_Shop!$G$14</definedName>
    <definedName name="App_processed_per_hour">[7]Rental_of_CA!$B$18</definedName>
    <definedName name="Application__arriving">[7]Rental_of_CA!$B$4:$B$14</definedName>
    <definedName name="Applications_arriving" localSheetId="0">'[1]4_rental_professionals'!$C$4:$C$14</definedName>
    <definedName name="Applications_arriving">'[2]4_rental_professionals'!$C$4:$C$14</definedName>
    <definedName name="Applications_available_to_process" localSheetId="0">'[1]4_rental_professionals'!$G$4:$G$14</definedName>
    <definedName name="Applications_available_to_process">#REF!</definedName>
    <definedName name="Applications_Processed" localSheetId="0">'[1]4_rental_professionals'!$E$4:$E$14</definedName>
    <definedName name="Applications_Processed">'[2]4_rental_professionals'!$E$4:$E$14</definedName>
    <definedName name="Area_served__A">'1_Solver'!$C$9</definedName>
    <definedName name="assemply_capacity_san_jose">[8]pivot_bikes_model!$D$23</definedName>
    <definedName name="assemply_capacity_shangdong">[8]pivot_bikes_model!$D$21</definedName>
    <definedName name="assemply_capacity_wilmington">[8]pivot_bikes_model!$D$22</definedName>
    <definedName name="assemply_time_san_jose">[8]pivot_bikes_model!$F$23</definedName>
    <definedName name="assemply_time_shangdong">[8]pivot_bikes_model!$F$21</definedName>
    <definedName name="assemply_time_wilmington">[8]pivot_bikes_model!$F$22</definedName>
    <definedName name="att_1_index">#REF!</definedName>
    <definedName name="att_2_index">#REF!</definedName>
    <definedName name="att_3_index">#REF!</definedName>
    <definedName name="att_4_index">#REF!</definedName>
    <definedName name="Available_workstations">[7]Rental_of_CA!$K$4:$K$14</definedName>
    <definedName name="Ave_Grade_Spec">[7]Hood_Strawberries!$D$6:$D$7</definedName>
    <definedName name="Average_distance_between_customers">'1_Solver'!$C$13</definedName>
    <definedName name="Average_show" localSheetId="4">'3 - Data Simulation'!$N$11</definedName>
    <definedName name="Average_show" localSheetId="3">'3 - Question'!$C$10</definedName>
    <definedName name="Big_M">'[9]2_tygrim_farms'!$G$12</definedName>
    <definedName name="Big_M_Checker">'[9]1_bullmonster'!$N$32:$N$33</definedName>
    <definedName name="Big_M_value">'[9]2_tygrim_farms'!$M$5:$M$8</definedName>
    <definedName name="bp_1">#REF!</definedName>
    <definedName name="bp_2">#REF!</definedName>
    <definedName name="bp_3">#REF!</definedName>
    <definedName name="bp_4">#REF!</definedName>
    <definedName name="bumped_amount">#REF!</definedName>
    <definedName name="bumped_percentage">#REF!</definedName>
    <definedName name="Cables_Produced">#REF!</definedName>
    <definedName name="Caffeine">'[9]1_bullmonster'!$E$20</definedName>
    <definedName name="Capacity">'[3]3_Bulabow_Contract'!$G$3:$G$5</definedName>
    <definedName name="capacity_a">'[4]1_greenleaf_organic'!$C$12</definedName>
    <definedName name="capacity_m">'[4]1_greenleaf_organic'!$C$11</definedName>
    <definedName name="capacity_p">'[4]1_greenleaf_organic'!$C$10</definedName>
    <definedName name="Capacity_per_size">'[3]3_Bulabow_Contract'!$D$9:$F$9</definedName>
    <definedName name="Car_netchange_per_month">[7]Eco_Rental!$H$6:$H$9</definedName>
    <definedName name="change_month_1" localSheetId="0">'[1]3_eco_rentals'!$B$16</definedName>
    <definedName name="change_month_1">'[2]3_eco_rentals'!$B$16</definedName>
    <definedName name="change_month_2" localSheetId="0">'[1]3_eco_rentals'!$C$16</definedName>
    <definedName name="change_month_2">'[2]3_eco_rentals'!$C$16</definedName>
    <definedName name="change_month_3" localSheetId="0">'[1]3_eco_rentals'!$D$16</definedName>
    <definedName name="change_month_3">'[2]3_eco_rentals'!$D$16</definedName>
    <definedName name="change_month_4" localSheetId="0">'[1]3_eco_rentals'!$E$16</definedName>
    <definedName name="change_month_4">'[2]3_eco_rentals'!$E$16</definedName>
    <definedName name="Charge_per_print">[6]Print_Shop!$C$5</definedName>
    <definedName name="component_capacity_ag">[8]pivot_bikes_model!$B$18</definedName>
    <definedName name="component_capacity_es">[8]pivot_bikes_model!$B$19</definedName>
    <definedName name="Components_to">'[4]4-2_pivot_bikes_model'!$X$15:$X$17</definedName>
    <definedName name="Construction_cost_warehouse">'1_Solver'!$C$3</definedName>
    <definedName name="Consultant_analysis_time" localSheetId="2">'2_Complex_process_issue'!$C$27</definedName>
    <definedName name="Consultant_analysis_time">#REF!</definedName>
    <definedName name="Consultant_Cost" localSheetId="2">'2_Complex_process_issue'!$K$4</definedName>
    <definedName name="Consultant_Cost">#REF!</definedName>
    <definedName name="Consultant_Fee" localSheetId="2">'2_Complex_process_issue'!$C$20</definedName>
    <definedName name="Consultant_Fee">#REF!</definedName>
    <definedName name="Correlation">'[10]Data Simulation 3'!$O$14</definedName>
    <definedName name="Cosmetic" localSheetId="2">'2_Complex_process_issue'!$C$14:$E$14</definedName>
    <definedName name="Cosmetic">#REF!</definedName>
    <definedName name="Cost">'[4]3_Flood_response'!$C$11:$C$19</definedName>
    <definedName name="cost_caffeine">'[9]1_bullmonster'!$B$21</definedName>
    <definedName name="cost_cane_louisiana" localSheetId="0">'[1]1_sugar_refinement'!$B$7</definedName>
    <definedName name="cost_cane_louisiana">'[2]1_sugar_refinement'!$B$7</definedName>
    <definedName name="cost_cane_toronto" localSheetId="0">'[1]1_sugar_refinement'!$C$7</definedName>
    <definedName name="cost_cane_toronto">'[2]1_sugar_refinement'!$C$7</definedName>
    <definedName name="cost_ginseng">'[9]1_bullmonster'!$B$25</definedName>
    <definedName name="cost_glucur">'[9]1_bullmonster'!$B$23</definedName>
    <definedName name="cost_guara">'[9]1_bullmonster'!$B$24</definedName>
    <definedName name="cost_lcarn">'[9]1_bullmonster'!$B$26</definedName>
    <definedName name="cost_m_1_10mm">'[3]4_Cable_Manufacturing-v1'!$C$6</definedName>
    <definedName name="cost_m_2_10mm">'[3]4_Cable_Manufacturing-v1'!$D$7</definedName>
    <definedName name="Cost_per_passenger" localSheetId="4">'3 - Data Simulation'!$N$5</definedName>
    <definedName name="Cost_per_passenger" localSheetId="3">'3 - Question'!$C$4</definedName>
    <definedName name="Cost_Per_Piece">[6]Contract_Clothing!$C$3:$C$5</definedName>
    <definedName name="Cost_per_print">'[3]1_Print_Shop'!$B$10</definedName>
    <definedName name="Cost_per_storage_lb_added">[11]very_veggies!$E$26</definedName>
    <definedName name="Cost_per_trucks">'[4]1_greenleaf_organic'!$L$41</definedName>
    <definedName name="cost_sugar">'[9]1_bullmonster'!$B$27</definedName>
    <definedName name="cost_taur">'[9]1_bullmonster'!$B$22</definedName>
    <definedName name="cost_white_louisiana" localSheetId="0">'[1]1_sugar_refinement'!$B$6</definedName>
    <definedName name="cost_white_louisiana">'[2]1_sugar_refinement'!$B$6</definedName>
    <definedName name="cost_white_toronto" localSheetId="0">'[1]1_sugar_refinement'!$C$6</definedName>
    <definedName name="cost_white_toronto">'[2]1_sugar_refinement'!$C$6</definedName>
    <definedName name="Costs">'1_Solver'!$C$21</definedName>
    <definedName name="Count_of_Product">[6]Wires_n_Rods!$D$3:$D$4</definedName>
    <definedName name="Current_Product" localSheetId="2">'2_Complex_process_issue'!$C$13:$E$13</definedName>
    <definedName name="Current_Product">#REF!</definedName>
    <definedName name="customer_demands">'[9]5_Challenge - Eighth Method'!$C$22:$F$22</definedName>
    <definedName name="Daily_demands">'[3]1_Print_Shop'!$E$6</definedName>
    <definedName name="Daily_revenue">'[3]1_Print_Shop'!$B$14</definedName>
    <definedName name="Days_open_in_a_year">'[3]1_Print_Shop'!$B$8</definedName>
    <definedName name="Days_open_per_year">[6]Print_Shop!$C$6</definedName>
    <definedName name="Decision_deadline" localSheetId="2">'2_Complex_process_issue'!$C$24</definedName>
    <definedName name="Decision_deadline">#REF!</definedName>
    <definedName name="Demand">'[5]3_eco_rentals'!$D$18:$D$21</definedName>
    <definedName name="demand_max_bbb">'[4]4-2_pivot_bikes_model'!$C$29</definedName>
    <definedName name="demand_max_jbi">'[4]4-2_pivot_bikes_model'!$C$27</definedName>
    <definedName name="demand_max_qbp">'[4]4-2_pivot_bikes_model'!$C$26</definedName>
    <definedName name="Demand_Minimum">'[4]4-2_pivot_bikes_model'!$B$26:$B$29</definedName>
    <definedName name="Destination">'[4]3_Flood_response'!$B$11:$B$19</definedName>
    <definedName name="distance_location">#REF!</definedName>
    <definedName name="Does_not_pass" localSheetId="2">'2_Complex_process_issue'!$C$7</definedName>
    <definedName name="Does_not_pass">#REF!</definedName>
    <definedName name="Double_rod_count">[6]Wires_n_Rods!$C$11</definedName>
    <definedName name="Empty_plane_cost" localSheetId="4">'3 - Data Simulation'!$N$7</definedName>
    <definedName name="Empty_plane_cost" localSheetId="3">'3 - Question'!$C$6</definedName>
    <definedName name="Empty_plane_cost">'[10]v1 - reference'!$C$6</definedName>
    <definedName name="EPA_Ruling" localSheetId="2">'2_Complex_process_issue'!$C$26</definedName>
    <definedName name="EPA_Ruling">#REF!</definedName>
    <definedName name="Expansion">'[5]3_eco_rentals'!#REF!</definedName>
    <definedName name="extra_cost_san_jose_shangdong">'[8]pivot_bikes_model -overflow'!$E$34</definedName>
    <definedName name="extra_cost_san_jose_wilmington">'[8]pivot_bikes_model -overflow'!$F$34</definedName>
    <definedName name="extra_cost_shangdong_san_jose">'[8]pivot_bikes_model -overflow'!$G$32</definedName>
    <definedName name="extra_cost_shangdong_wilmington">'[8]pivot_bikes_model -overflow'!$F$32</definedName>
    <definedName name="extra_cost_wilmington_san_jose">'[8]pivot_bikes_model -overflow'!$G$33</definedName>
    <definedName name="extra_cost_wilmington_shangdong">'[8]pivot_bikes_model -overflow'!$E$33</definedName>
    <definedName name="False_positive_rate__wrong_violation" localSheetId="2">'2_Complex_process_issue'!$K$6</definedName>
    <definedName name="False_positive_rate__wrong_violation">#REF!</definedName>
    <definedName name="Final__Really_Third__Transport">'[12]nemo_question_1-working'!$M$24</definedName>
    <definedName name="Fixed_Cost">[6]Print_Shop!$G$9</definedName>
    <definedName name="Fixed_cost_per_month">[6]Print_Shop!$C$4</definedName>
    <definedName name="fixed_costs_c">'[9]2_tygrim_farms'!$C$20</definedName>
    <definedName name="fixed_costs_p">'[9]2_tygrim_farms'!$C$19</definedName>
    <definedName name="fixed_costs_sj">'[9]2_tygrim_farms'!$C$18</definedName>
    <definedName name="fixed_costs_t">'[9]2_tygrim_farms'!$C$21</definedName>
    <definedName name="fleet_end_of_m1" localSheetId="0">'[1]3_eco_rentals'!$B$15</definedName>
    <definedName name="fleet_end_of_m1">'[2]3_eco_rentals'!$B$15</definedName>
    <definedName name="fleet_end_of_m2" localSheetId="0">'[1]3_eco_rentals'!$C$15</definedName>
    <definedName name="fleet_end_of_m2">'[2]3_eco_rentals'!$C$15</definedName>
    <definedName name="fleet_end_of_m3" localSheetId="0">'[1]3_eco_rentals'!$D$15</definedName>
    <definedName name="fleet_end_of_m3">'[2]3_eco_rentals'!$D$15</definedName>
    <definedName name="fleet_end_of_m4" localSheetId="0">'[1]3_eco_rentals'!$E$15</definedName>
    <definedName name="fleet_end_of_m4">'[2]3_eco_rentals'!$E$15</definedName>
    <definedName name="Flow">'[4]3_Flood_response'!$D$11:$D$19</definedName>
    <definedName name="flow_t1_jks1">'[4]2_nemo_question'!$D$23</definedName>
    <definedName name="flow_t1_shark">'[4]2_nemo_question'!$C$23</definedName>
    <definedName name="flow_t1_turtle">'[4]2_nemo_question'!$B$23</definedName>
    <definedName name="flow_t2_jks1_eac">'[4]2_nemo_question'!$E$26</definedName>
    <definedName name="flow_t2_jks1_fs">'[4]2_nemo_question'!$F$26</definedName>
    <definedName name="flow_t2_jks1_jks2">'[4]2_nemo_question'!$G$26</definedName>
    <definedName name="flow_t2_shark_fs">'[4]2_nemo_question'!$F$25</definedName>
    <definedName name="flow_t2_shark_jks2">'[4]2_nemo_question'!$G$25</definedName>
    <definedName name="flow_t2_turtle_eac">'[4]2_nemo_question'!$E$24</definedName>
    <definedName name="flow_t2_turtle_jks2">'[4]2_nemo_question'!$G$24</definedName>
    <definedName name="flow_t3_eac_pelican">'[4]2_nemo_question'!$I$27</definedName>
    <definedName name="flow_t3_eac_whale">'[4]2_nemo_question'!$H$27</definedName>
    <definedName name="flow_t3_fs_pelican">'[4]2_nemo_question'!$I$28</definedName>
    <definedName name="flow_t3_fs_whale">'[4]2_nemo_question'!$H$28</definedName>
    <definedName name="flow_t3_jk2_pelican">'[4]2_nemo_question'!$I$29</definedName>
    <definedName name="flow_t3_jks2_whale">'[4]2_nemo_question'!$H$29</definedName>
    <definedName name="flow_t4_pelican">'[4]2_nemo_question'!$J$31</definedName>
    <definedName name="flow_t4_whale">'[4]2_nemo_question'!$J$30</definedName>
    <definedName name="fourtht_pelican">'[4]2_nemo_question'!$J$12</definedName>
    <definedName name="fourtht_whale">'[4]2_nemo_question'!$J$11</definedName>
    <definedName name="frame_capacity_tx">[8]pivot_bikes_model!$B$15</definedName>
    <definedName name="frame_capacity_vc">[8]pivot_bikes_model!$B$16</definedName>
    <definedName name="Frozen_cost_lb" localSheetId="0">'[1]2_berries_hood'!$B$12</definedName>
    <definedName name="Frozen_cost_lb">'[5]2_berries_hood'!$B$12</definedName>
    <definedName name="Frozen_yield_lb" localSheetId="0">'[1]2_berries_hood'!$B$11</definedName>
    <definedName name="Frozen_yield_lb">'[5]2_berries_hood'!$B$11</definedName>
    <definedName name="FT___PT_Processed_per_hour" localSheetId="0">'[1]4_rental_professionals'!$C$19</definedName>
    <definedName name="FT___PT_Processed_per_hour">'[2]4_rental_professionals'!$C$19</definedName>
    <definedName name="FT_1" localSheetId="0">'[1]4_rental_professionals'!$H$19</definedName>
    <definedName name="FT_1">'[2]4_rental_professionals'!$H$19</definedName>
    <definedName name="ft_1_num_emp">#REF!</definedName>
    <definedName name="FT_1_Range">#REF!</definedName>
    <definedName name="FT_1_Start_Time">#REF!</definedName>
    <definedName name="FT_2" localSheetId="0">'[1]4_rental_professionals'!$H$20</definedName>
    <definedName name="FT_2">'[2]4_rental_professionals'!$H$20</definedName>
    <definedName name="ft_2_num_emp">#REF!</definedName>
    <definedName name="FT_2_Range">#REF!</definedName>
    <definedName name="FT_3" localSheetId="0">'[1]4_rental_professionals'!$H$21</definedName>
    <definedName name="FT_3">'[2]4_rental_professionals'!$H$21</definedName>
    <definedName name="ft_3_num_emp">#REF!</definedName>
    <definedName name="FT_3_Range">#REF!</definedName>
    <definedName name="FT_3_Start_Time">#REF!</definedName>
    <definedName name="ft_4_num_emp">#REF!</definedName>
    <definedName name="ft_jks1">'[4]2_nemo_question'!$D$4</definedName>
    <definedName name="FT_pay_per_hour">[7]Rental_of_CA!$L$4:$L$14</definedName>
    <definedName name="ft_shark">'[4]2_nemo_question'!$C$4</definedName>
    <definedName name="FT_Shift_Pay_per_day">[7]Rental_of_CA!$B$16</definedName>
    <definedName name="ft_turtle">'[4]2_nemo_question'!$B$4</definedName>
    <definedName name="FT_Worker_Pay" localSheetId="0">'[1]4_rental_professionals'!$C$22</definedName>
    <definedName name="FT_Worker_Pay">'[2]4_rental_professionals'!$C$22</definedName>
    <definedName name="FT1_workers">'[5]4_Rental_of_CA'!$B$17</definedName>
    <definedName name="FT2_workers">'[5]4_Rental_of_CA'!$B$18</definedName>
    <definedName name="FT3_workers">'[5]4_Rental_of_CA'!$B$19</definedName>
    <definedName name="Ginseng">'[9]1_bullmonster'!$E$24</definedName>
    <definedName name="Glucuronolactone">'[9]1_bullmonster'!$E$22</definedName>
    <definedName name="Grade_2_frozen" localSheetId="0">'[1]2_berries_hood'!$F$11</definedName>
    <definedName name="Grade_2_frozen">'[5]2_berries_hood'!$F$11</definedName>
    <definedName name="grade_2_grade" localSheetId="0">'[1]2_berries_hood'!$B$4</definedName>
    <definedName name="grade_2_grade">'[5]2_berries_hood'!$B$4</definedName>
    <definedName name="grade_2_maximum" localSheetId="0">'[1]2_berries_hood'!$B$5</definedName>
    <definedName name="grade_2_maximum">'[5]2_berries_hood'!$B$5</definedName>
    <definedName name="Grade_2_preserve" localSheetId="0">'[1]2_berries_hood'!$F$8</definedName>
    <definedName name="Grade_2_preserve">'[5]2_berries_hood'!$F$8</definedName>
    <definedName name="Grade_4_frozen" localSheetId="0">'[1]2_berries_hood'!$F$12</definedName>
    <definedName name="Grade_4_frozen">'[5]2_berries_hood'!$F$12</definedName>
    <definedName name="grade_4_grade" localSheetId="0">'[1]2_berries_hood'!$C$4</definedName>
    <definedName name="grade_4_grade">'[5]2_berries_hood'!$C$4</definedName>
    <definedName name="grade_4_maximum" localSheetId="0">'[1]2_berries_hood'!$C$5</definedName>
    <definedName name="grade_4_maximum">'[5]2_berries_hood'!$C$5</definedName>
    <definedName name="Grade_4_preserve" localSheetId="0">'[1]2_berries_hood'!$F$9</definedName>
    <definedName name="Grade_4_preserve">'[5]2_berries_hood'!$F$9</definedName>
    <definedName name="Grade_5_frozen" localSheetId="0">'[1]2_berries_hood'!$F$13</definedName>
    <definedName name="Grade_5_frozen">'[5]2_berries_hood'!$F$13</definedName>
    <definedName name="grade_5_grade" localSheetId="0">'[1]2_berries_hood'!$D$4</definedName>
    <definedName name="grade_5_grade">'[5]2_berries_hood'!$D$4</definedName>
    <definedName name="grade_5_maximum" localSheetId="0">'[1]2_berries_hood'!$D$5</definedName>
    <definedName name="grade_5_maximum">'[5]2_berries_hood'!$D$5</definedName>
    <definedName name="Grade_5_preserve" localSheetId="0">'[1]2_berries_hood'!$F$10</definedName>
    <definedName name="Grade_5_preserve">'[5]2_berries_hood'!$F$10</definedName>
    <definedName name="Guarana">'[9]1_bullmonster'!$E$23</definedName>
    <definedName name="Hours_machine_1">'[3]4_Cable_Manufacturing-v1'!$C$10</definedName>
    <definedName name="Hours_machine_2">'[3]4_Cable_Manufacturing-v1'!$C$11</definedName>
    <definedName name="Hours_of_labor_required">#REF!</definedName>
    <definedName name="Hours_of_machine_time_required">#REF!</definedName>
    <definedName name="hrs_m_1_10mm">'[3]4_Cable_Manufacturing-v1'!$C$5</definedName>
    <definedName name="hrs_m_2_10mm">'[3]4_Cable_Manufacturing-v1'!$D$5</definedName>
    <definedName name="inventory_maintenance_cost_m1" localSheetId="0">'[1]3_eco_rentals'!$B$21</definedName>
    <definedName name="inventory_maintenance_cost_m1">'[2]3_eco_rentals'!$B$21</definedName>
    <definedName name="inventory_maintenance_cost_m2" localSheetId="0">'[1]3_eco_rentals'!$C$21</definedName>
    <definedName name="inventory_maintenance_cost_m2">'[2]3_eco_rentals'!$C$21</definedName>
    <definedName name="inventory_maintenance_cost_m3" localSheetId="0">'[1]3_eco_rentals'!$D$21</definedName>
    <definedName name="inventory_maintenance_cost_m3">'[2]3_eco_rentals'!$D$21</definedName>
    <definedName name="inventory_maintenance_cost_m4" localSheetId="0">'[1]3_eco_rentals'!$E$21</definedName>
    <definedName name="inventory_maintenance_cost_m4">'[2]3_eco_rentals'!$E$21</definedName>
    <definedName name="Inventory_purchase" localSheetId="0">'[1]3_eco_rentals'!#REF!</definedName>
    <definedName name="Inventory_purchase">'[2]3_eco_rentals'!#REF!</definedName>
    <definedName name="inventory_purchase_m1" localSheetId="0">'[1]3_eco_rentals'!#REF!</definedName>
    <definedName name="inventory_purchase_m1">'[2]3_eco_rentals'!#REF!</definedName>
    <definedName name="inventory_purchase_m2" localSheetId="0">'[1]3_eco_rentals'!#REF!</definedName>
    <definedName name="inventory_purchase_m2">'[2]3_eco_rentals'!#REF!</definedName>
    <definedName name="inventory_purchase_m3" localSheetId="0">'[1]3_eco_rentals'!#REF!</definedName>
    <definedName name="inventory_purchase_m3">'[2]3_eco_rentals'!#REF!</definedName>
    <definedName name="inventory_purchase_m4" localSheetId="0">'[1]3_eco_rentals'!#REF!</definedName>
    <definedName name="inventory_purchase_m4">'[2]3_eco_rentals'!#REF!</definedName>
    <definedName name="Kg_of_Steel_Capacity">[6]Wires_n_Rods!$C$10</definedName>
    <definedName name="L_carnitine">'[9]1_bullmonster'!$E$25</definedName>
    <definedName name="LA_cost_of_Sugar_Per_Wk">'[5]1_Sugar_Refining_Co'!$B$14</definedName>
    <definedName name="LA_Cost_Per_lbs">'[5]1_Sugar_Refining_Co'!$B$6:$B$7</definedName>
    <definedName name="LA_Hour_Per_Lbs">'[5]1_Sugar_Refining_Co'!$D$6:$D$7</definedName>
    <definedName name="LA_lbs_Prod_Per_Wk">'[5]1_Sugar_Refining_Co'!$F$6:$F$7</definedName>
    <definedName name="Labor_hours_cap">'[3]4_Cable_Manufacturing'!$E$16</definedName>
    <definedName name="Labor_hours_capacity">'[3]4_Cable_Manufacturing-validatio'!$F$14</definedName>
    <definedName name="labor_hours_m_1_15mm">'[3]4_Cable_Manufacturing-v1'!$E$6</definedName>
    <definedName name="labor_hours_m_2_10mm">'[3]4_Cable_Manufacturing-v1'!$D$6</definedName>
    <definedName name="labor_hours_m_2_15mm">'[3]4_Cable_Manufacturing-v1'!$F$6</definedName>
    <definedName name="Labor_hours_Machine_1">'[3]4_Cable_Manufacturing-v1'!$C$12</definedName>
    <definedName name="Labor_hours_Machine_2">'[3]4_Cable_Manufacturing-v1'!$C$13</definedName>
    <definedName name="Lbs_of_2">[7]Hood_Strawberries!$G$6:$G$8</definedName>
    <definedName name="Lbs_of_4">[7]Hood_Strawberries!$H$6:$H$8</definedName>
    <definedName name="Lbs_of_5">[7]Hood_Strawberries!$I$6:$I$8</definedName>
    <definedName name="lbs_of_Steel_per_product">[6]Wires_n_Rods!$C$3:$C$4</definedName>
    <definedName name="Lbs_per_product">[7]Hood_Strawberries!$J$6:$J$8</definedName>
    <definedName name="Lbs_Produced_Per_Week">'[5]1_Sugar_Refining_Co'!$G$6:$G$7</definedName>
    <definedName name="Leftover_juice_cost_lb" localSheetId="0">'[1]2_berries_hood'!$B$15</definedName>
    <definedName name="Leftover_juice_cost_lb">'[5]2_berries_hood'!$B$15</definedName>
    <definedName name="Leftover_juice_yield_lb" localSheetId="0">'[1]2_berries_hood'!$B$14</definedName>
    <definedName name="Leftover_juice_yield_lb">'[5]2_berries_hood'!$B$14</definedName>
    <definedName name="Legislative_vote" localSheetId="2">'2_Complex_process_issue'!$C$25</definedName>
    <definedName name="Legislative_vote">#REF!</definedName>
    <definedName name="Machine_1_cable_produced_10_mm">'[3]4_Cable_Manufacturing-v1'!$C$35</definedName>
    <definedName name="Machine_1_cable_produced_15_mm">'[3]4_Cable_Manufacturing-v1'!$C$37</definedName>
    <definedName name="Machine_1_cost_10mm">'[3]4_Cable_Manufacturing-v1'!$C$29</definedName>
    <definedName name="Machine_1_cost_15mm">'[3]4_Cable_Manufacturing-v1'!$C$31</definedName>
    <definedName name="Machine_1_hours_cap">'[3]4_Cable_Manufacturing'!$E$14</definedName>
    <definedName name="Machine_2_cable_produced_10_mm">'[3]4_Cable_Manufacturing-v1'!$C$36</definedName>
    <definedName name="Machine_2_cable_produced_15_mm">'[3]4_Cable_Manufacturing-v1'!$C$38</definedName>
    <definedName name="Machine_2_cost_10mm">'[3]4_Cable_Manufacturing-v1'!$C$30</definedName>
    <definedName name="Machine_2_cost_15mm">'[3]4_Cable_Manufacturing-v1'!$C$32</definedName>
    <definedName name="Machine_2_hours_cap">'[3]4_Cable_Manufacturing'!$E$15</definedName>
    <definedName name="Machine_hours_capacity">'[3]4_Cable_Manufacturing-validatio'!$F$13</definedName>
    <definedName name="Machine_hours_Louisiana_cane" localSheetId="0">'[1]1_sugar_refinement'!$F$16</definedName>
    <definedName name="Machine_hours_Louisiana_cane">'[2]1_sugar_refinement'!$F$16</definedName>
    <definedName name="Machine_hours_Louisiana_pure_white" localSheetId="0">'[1]1_sugar_refinement'!$F$14</definedName>
    <definedName name="Machine_hours_Louisiana_pure_white">'[2]1_sugar_refinement'!$F$14</definedName>
    <definedName name="Machine_hours_Toronto_cane" localSheetId="0">'[1]1_sugar_refinement'!$F$17</definedName>
    <definedName name="Machine_hours_Toronto_cane">'[2]1_sugar_refinement'!$F$17</definedName>
    <definedName name="Machine_hours_Toronto_pure_white" localSheetId="0">'[1]1_sugar_refinement'!$F$15</definedName>
    <definedName name="Machine_hours_Toronto_pure_white">'[2]1_sugar_refinement'!$F$15</definedName>
    <definedName name="machine_hr_cane_louisiana" localSheetId="0">'[1]1_sugar_refinement'!$E$7</definedName>
    <definedName name="machine_hr_cane_louisiana">'[2]1_sugar_refinement'!$E$7</definedName>
    <definedName name="machine_hr_cane_toronto" localSheetId="0">'[1]1_sugar_refinement'!$F$7</definedName>
    <definedName name="machine_hr_cane_toronto">'[2]1_sugar_refinement'!$F$7</definedName>
    <definedName name="machine_hr_white_louisiana" localSheetId="0">'[1]1_sugar_refinement'!$E$6</definedName>
    <definedName name="machine_hr_white_louisiana">'[2]1_sugar_refinement'!$E$6</definedName>
    <definedName name="machine_hr_white_toronto" localSheetId="0">'[1]1_sugar_refinement'!$F$6</definedName>
    <definedName name="machine_hr_white_toronto">'[2]1_sugar_refinement'!$F$6</definedName>
    <definedName name="Machine1_10mm_hours">'[3]4_Cable_Manufacturing'!$B$5</definedName>
    <definedName name="Machine1_15mm_hrs">'[3]4_Cable_Manufacturing'!$D$5</definedName>
    <definedName name="Machine2_10mm_hrs">'[3]4_Cable_Manufacturing'!$C$5</definedName>
    <definedName name="Machine2_15mm_hrs">'[3]4_Cable_Manufacturing'!$E$5</definedName>
    <definedName name="Madison_Production_Cost">'[4]1_greenleaf_organic'!$C$37</definedName>
    <definedName name="Maintenance_cost_per_warehouse">'1_Solver'!$C$2</definedName>
    <definedName name="Max_Deploy">'[4]3_Flood_response'!$I$12:$I$14</definedName>
    <definedName name="max_louisiana_hours" localSheetId="0">'[1]1_sugar_refinement'!$C$19</definedName>
    <definedName name="max_louisiana_hours">'[2]1_sugar_refinement'!$C$19</definedName>
    <definedName name="Max_print_per_year">[6]Print_Shop!$C$7</definedName>
    <definedName name="max_toronto_hours" localSheetId="0">'[1]1_sugar_refinement'!$C$20</definedName>
    <definedName name="max_toronto_hours">'[2]1_sugar_refinement'!$C$20</definedName>
    <definedName name="Maximal_output" localSheetId="0">'[1]4_rental_professionals'!$C$21</definedName>
    <definedName name="Maximal_output">'[2]4_rental_professionals'!$C$21</definedName>
    <definedName name="Maximum_employees_at_a_time" localSheetId="0">'[1]4_rental_professionals'!$C$20</definedName>
    <definedName name="Maximum_employees_at_a_time">'[2]4_rental_professionals'!$C$20</definedName>
    <definedName name="Monthly_store_overhead">'[3]1_Print_Shop'!$B$6</definedName>
    <definedName name="Monthly_total_cost" localSheetId="0">'[1]3_eco_rentals'!$B$22:$E$22</definedName>
    <definedName name="Monthly_total_cost">'[2]3_eco_rentals'!$B$22:$E$22</definedName>
    <definedName name="Months_in_a_year">'[3]1_Print_Shop'!$B$7</definedName>
    <definedName name="Net_Change">'[5]3_eco_rentals'!$H$18:$H$21</definedName>
    <definedName name="Net_per_sale" localSheetId="4">'3 - Data Simulation'!$N$6</definedName>
    <definedName name="Net_per_sale" localSheetId="3">'3 - Question'!$C$5</definedName>
    <definedName name="Net_per_sale">'[10]v1 - reference'!$C$5</definedName>
    <definedName name="New_Louisiana_hours_constraints" localSheetId="0">'[1]1_sugar_refinement'!$B$28</definedName>
    <definedName name="New_Louisiana_hours_constraints">'[2]1_sugar_refinement'!$B$28</definedName>
    <definedName name="New_Toronto_hours_constraints" localSheetId="0">'[1]1_sugar_refinement'!$B$29</definedName>
    <definedName name="New_Toronto_hours_constraints">'[2]1_sugar_refinement'!$B$29</definedName>
    <definedName name="Noon_1P">#REF!</definedName>
    <definedName name="Number_of_printers">[6]Print_Shop!$G$2</definedName>
    <definedName name="Number_of_printers_rented">'[3]1_Print_Shop'!$E$4</definedName>
    <definedName name="On_off">'[9]2_tygrim_farms'!$L$5:$L$8</definedName>
    <definedName name="on_off_c">'[9]2_tygrim_farms'!$L$7</definedName>
    <definedName name="On_Off_Flow">'[13]4-1 10 City Distance Matrix'!$B$15:$B$24</definedName>
    <definedName name="on_off_p">'[9]2_tygrim_farms'!$L$6</definedName>
    <definedName name="on_off_sj">'[9]2_tygrim_farms'!$L$5</definedName>
    <definedName name="on_off_t">'[9]2_tygrim_farms'!$L$8</definedName>
    <definedName name="Orders_per_quarter">[6]Contract_Clothing!$I$3:$I$5</definedName>
    <definedName name="Orders_per_year">'1_Solver'!$C$7</definedName>
    <definedName name="Organic_evaporated_cane_sugar_pound_Louisiana" localSheetId="0">'[1]1_sugar_refinement'!$B$13</definedName>
    <definedName name="Organic_evaporated_cane_sugar_pound_Louisiana">'[2]1_sugar_refinement'!$B$13</definedName>
    <definedName name="Organic_evaporated_cane_sugar_pound_Toronto" localSheetId="0">'[1]1_sugar_refinement'!$B$14</definedName>
    <definedName name="Organic_evaporated_cane_sugar_pound_Toronto">'[2]1_sugar_refinement'!$B$14</definedName>
    <definedName name="Origin">'[4]3_Flood_response'!$A$11:$A$19</definedName>
    <definedName name="Original_solver">'[4]1_greenleaf_organic'!$L$36</definedName>
    <definedName name="Output_Machine_1_10mm">'[3]4_Cable_Manufacturing-v1'!$C$21</definedName>
    <definedName name="Output_Machine_1_15mm">'[3]4_Cable_Manufacturing-v1'!$C$25</definedName>
    <definedName name="Output_Machine_2_10mm">'[3]4_Cable_Manufacturing-v1'!$C$22</definedName>
    <definedName name="Output_Machine_2_15mm">'[3]4_Cable_Manufacturing-v1'!$C$26</definedName>
    <definedName name="Overbooked_if" localSheetId="3">'3 - Question'!$C$14</definedName>
    <definedName name="Overbooked_if">'[10]v1 - reference'!$C$14</definedName>
    <definedName name="Overbooking_fee" localSheetId="3">'3 - Question'!$C$17</definedName>
    <definedName name="Overbooking_refund_per_passenger" localSheetId="4">'3 - Data Simulation'!$N$8</definedName>
    <definedName name="Overbooking_refund_per_passenger" localSheetId="3">'3 - Question'!$C$7</definedName>
    <definedName name="Overbooking_refund_per_passenger">'[10]v1 - reference'!$C$7</definedName>
    <definedName name="P_No_Violation___Leg_passes_w_element" localSheetId="2">'2_Complex_process_issue'!$C$62</definedName>
    <definedName name="P_No_Violation___Leg_passes_w_element">#REF!</definedName>
    <definedName name="P_Says__No_Violation____Actually_No_Violation" localSheetId="2">'2_Complex_process_issue'!$C$68</definedName>
    <definedName name="P_Says__No_Violation____Actually_No_Violation">#REF!</definedName>
    <definedName name="P_Says__No_Violation____Actually_Violation" localSheetId="2">'2_Complex_process_issue'!$C$66</definedName>
    <definedName name="P_Says__No_Violation____Actually_Violation">#REF!</definedName>
    <definedName name="P_Says__Violation____Actually_No_Violation" localSheetId="2">'2_Complex_process_issue'!$C$67</definedName>
    <definedName name="P_Says__Violation____Actually_No_Violation">#REF!</definedName>
    <definedName name="P_Says__Violation____Actually_Violation" localSheetId="2">'2_Complex_process_issue'!$C$65</definedName>
    <definedName name="P_Says__Violation____Actually_Violation">#REF!</definedName>
    <definedName name="P_Violation___Leg_passes_w_element" localSheetId="2">'2_Complex_process_issue'!$C$61</definedName>
    <definedName name="P_Violation___Leg_passes_w_element">#REF!</definedName>
    <definedName name="Passenger_show_up_likely">#REF!</definedName>
    <definedName name="Passenger_show_up_low">#REF!</definedName>
    <definedName name="Passenger_show_up_Maximum">#REF!</definedName>
    <definedName name="Passes_with_element_regulated" localSheetId="2">'2_Complex_process_issue'!$C$5</definedName>
    <definedName name="Passes_with_element_regulated">#REF!</definedName>
    <definedName name="Passes_without_element_regulated" localSheetId="2">'2_Complex_process_issue'!$C$6</definedName>
    <definedName name="Passes_without_element_regulated">#REF!</definedName>
    <definedName name="pellet_cost_jks_1_2">'[12]nemo_question_1-working'!$B$17</definedName>
    <definedName name="pellet_cost_pelican">'[12]nemo_question_1-working'!$H$17</definedName>
    <definedName name="pellet_cost_sharks">'[12]nemo_question_1-working'!$D$17</definedName>
    <definedName name="pellet_cost_turtles">'[12]nemo_question_1-working'!$C$17</definedName>
    <definedName name="Percent_large">[6]Contract_Clothing!$F$3:$F$5</definedName>
    <definedName name="Percent_medium">[6]Contract_Clothing!$E$3:$E$5</definedName>
    <definedName name="Percent_small">[6]Contract_Clothing!$D$3:$D$5</definedName>
    <definedName name="Plane_fee" localSheetId="3">'3 - Question'!$C$18</definedName>
    <definedName name="Planning_horizon" localSheetId="2">'2_Complex_process_issue'!$C$28</definedName>
    <definedName name="Planning_horizon">#REF!</definedName>
    <definedName name="Portland_Production_Cost">'[4]1_greenleaf_organic'!$C$35</definedName>
    <definedName name="Pounds_required">'[9]1_bullmonster'!$H$29:$L$29</definedName>
    <definedName name="pounds_vb1">'[9]1_bullmonster'!$C$16</definedName>
    <definedName name="pounds_vb2">'[9]1_bullmonster'!$D$16</definedName>
    <definedName name="pounds_vb3">'[9]1_bullmonster'!$E$16</definedName>
    <definedName name="pounds_vb6">'[9]1_bullmonster'!$F$16</definedName>
    <definedName name="pounds_vb7">'[9]1_bullmonster'!$G$16</definedName>
    <definedName name="Preserve_cost_lb" localSheetId="0">'[1]2_berries_hood'!$B$9</definedName>
    <definedName name="Preserve_cost_lb">'[5]2_berries_hood'!$B$9</definedName>
    <definedName name="Preserve_yield_lb" localSheetId="0">'[1]2_berries_hood'!$B$8</definedName>
    <definedName name="Preserve_yield_lb">'[5]2_berries_hood'!$B$8</definedName>
    <definedName name="Prints_per_day">[6]Print_Shop!$G$3</definedName>
    <definedName name="Prints_per_year">[6]Print_Shop!$G$4</definedName>
    <definedName name="prod_p1">'[9]5_Challenge - Eighth Method'!$R$6</definedName>
    <definedName name="prod_p2">'[9]5_Challenge - Eighth Method'!$R$7</definedName>
    <definedName name="prod_p3">'[9]5_Challenge - Eighth Method'!$R$8</definedName>
    <definedName name="prod_total_constraints">'[9]5_Challenge - Eighth Method'!$G$6:$G$8</definedName>
    <definedName name="prod_w1">'[9]5_Challenge - Eighth Method'!$T$19</definedName>
    <definedName name="prod_w2">'[9]5_Challenge - Eighth Method'!$T$20</definedName>
    <definedName name="prod_w3">'[9]5_Challenge - Eighth Method'!$T$21</definedName>
    <definedName name="Product_does_not_violate_standards" localSheetId="2">'2_Complex_process_issue'!$G$6</definedName>
    <definedName name="Product_does_not_violate_standards">#REF!</definedName>
    <definedName name="Product_violates_standards" localSheetId="2">'2_Complex_process_issue'!$G$5</definedName>
    <definedName name="Product_violates_standards">#REF!</definedName>
    <definedName name="Profit">'[3]1_Print_Shop'!$E$18</definedName>
    <definedName name="Profit_Per_Product">[6]Wires_n_Rods!$E$3:$E$4</definedName>
    <definedName name="PT_1" localSheetId="0">'[1]4_rental_professionals'!$H$22</definedName>
    <definedName name="PT_1">'[2]4_rental_professionals'!$H$22</definedName>
    <definedName name="pt_1_num_emp">#REF!</definedName>
    <definedName name="PT_1_Range">#REF!</definedName>
    <definedName name="PT_1_Start_Time">#REF!</definedName>
    <definedName name="PT_2" localSheetId="0">'[1]4_rental_professionals'!$H$23</definedName>
    <definedName name="PT_2">'[2]4_rental_professionals'!$H$23</definedName>
    <definedName name="pt_2_num_emp">#REF!</definedName>
    <definedName name="PT_2_Range">#REF!</definedName>
    <definedName name="PT_2_Start_Time">#REF!</definedName>
    <definedName name="PT_pay_per_hour">[7]Rental_of_CA!$M$4:$M$14</definedName>
    <definedName name="PT_Shift_Pay_per_day">[7]Rental_of_CA!$B$17</definedName>
    <definedName name="PT_Worker_Pay" localSheetId="0">'[1]4_rental_professionals'!$C$23</definedName>
    <definedName name="PT_Worker_Pay">'[2]4_rental_professionals'!$C$23</definedName>
    <definedName name="PT1_workers">'[5]4_Rental_of_CA'!$B$20</definedName>
    <definedName name="PT2_workers">'[5]4_Rental_of_CA'!$B$21</definedName>
    <definedName name="purchase_price_bbb">[8]pivot_bikes_model!$D$29</definedName>
    <definedName name="purchase_price_jbi">[8]pivot_bikes_model!$D$27</definedName>
    <definedName name="purchase_price_qbp">[8]pivot_bikes_model!$D$26</definedName>
    <definedName name="purchase_price_rei">[8]pivot_bikes_model!$D$28</definedName>
    <definedName name="Pure_white_sugar_pound_Louisiana" localSheetId="0">'[1]1_sugar_refinement'!$B$11</definedName>
    <definedName name="Pure_white_sugar_pound_Louisiana">'[2]1_sugar_refinement'!$B$11</definedName>
    <definedName name="Pure_white_sugar_pound_Toronto" localSheetId="0">'[1]1_sugar_refinement'!$B$12</definedName>
    <definedName name="Pure_white_sugar_pound_Toronto">'[2]1_sugar_refinement'!$B$12</definedName>
    <definedName name="Recall_Cost_multiplier" localSheetId="2">'2_Complex_process_issue'!$C$21</definedName>
    <definedName name="Recall_Cost_multiplier">#REF!</definedName>
    <definedName name="Required_receive">'[4]3_Flood_response'!$I$17:$I$19</definedName>
    <definedName name="Rescues" localSheetId="0">'[1]5_week_2_challenge_linear'!$C$5:$C$8</definedName>
    <definedName name="Rescues">'[2]5_week_2_challenge_linear'!$C$5:$C$8</definedName>
    <definedName name="Rescues_per_year" localSheetId="0">'[1]5_week_2_challenge_linear'!$B$5:$B$8</definedName>
    <definedName name="Rescues_per_year">'[2]5_week_2_challenge_linear'!$B$5:$B$8</definedName>
    <definedName name="rescues_per_year_1" localSheetId="0">'[1]5_week_2_challenge_linear'!$B$5</definedName>
    <definedName name="rescues_per_year_1">'[2]5_week_2_challenge_linear'!$B$5</definedName>
    <definedName name="rescues_per_year_2" localSheetId="0">'[1]5_week_2_challenge_linear'!$B$6</definedName>
    <definedName name="rescues_per_year_2">'[2]5_week_2_challenge_linear'!$B$6</definedName>
    <definedName name="rescues_per_year_3" localSheetId="0">'[1]5_week_2_challenge_linear'!$B$7</definedName>
    <definedName name="rescues_per_year_3">'[2]5_week_2_challenge_linear'!$B$7</definedName>
    <definedName name="rescues_per_year_4" localSheetId="0">'[1]5_week_2_challenge_linear'!$B$8</definedName>
    <definedName name="rescues_per_year_4">'[2]5_week_2_challenge_linear'!$B$8</definedName>
    <definedName name="Revenue_per_lb">[7]Hood_Strawberries!$E$6:$E$8</definedName>
    <definedName name="Revenue_per_print">'[3]1_Print_Shop'!$B$13</definedName>
    <definedName name="Revenue_per_year">[6]Print_Shop!$G$12</definedName>
    <definedName name="Sale_per_print">'[3]1_Print_Shop'!$B$12</definedName>
    <definedName name="San_José_Assembly">[8]pivot_bikes_model!$L$23</definedName>
    <definedName name="scenario_daily_demand_100">'[3]1_Print_Shop'!$G$25</definedName>
    <definedName name="scenario_daily_demand_250">'[3]1_Print_Shop'!$G$26</definedName>
    <definedName name="scenario_daily_demand_50">'[3]1_Print_Shop'!$G$24</definedName>
    <definedName name="scenario_printer_rented_1">'[3]1_Print_Shop'!$H$22</definedName>
    <definedName name="scenario_printer_rented_2">'[3]1_Print_Shop'!$I$22</definedName>
    <definedName name="scenario_printer_rented_3">'[3]1_Print_Shop'!$J$22</definedName>
    <definedName name="scenario_printer_rented_4">'[3]1_Print_Shop'!$K$22</definedName>
    <definedName name="scenario_printer_rented_5">'[3]1_Print_Shop'!$L$22</definedName>
    <definedName name="Seats_available" localSheetId="4">'3 - Data Simulation'!$N$10</definedName>
    <definedName name="Seats_available" localSheetId="3">'3 - Question'!$C$9</definedName>
    <definedName name="Seats_available">'[10]v1 - reference'!$C$9</definedName>
    <definedName name="secondt_jks1_eac">'[4]2_nemo_question'!$E$7</definedName>
    <definedName name="secondt_jks1_fs">'[4]2_nemo_question'!$F$7</definedName>
    <definedName name="secondt_jks1_jks2">'[4]2_nemo_question'!$G$7</definedName>
    <definedName name="secondt_shark_fs">'[4]2_nemo_question'!$F$6</definedName>
    <definedName name="secondt_shark_jks2">'[4]2_nemo_question'!$G$6</definedName>
    <definedName name="secondt_turtle_eac">'[4]2_nemo_question'!$E$5</definedName>
    <definedName name="secondt_turtle_jks2">'[4]2_nemo_question'!$G$5</definedName>
    <definedName name="Shangdong_Assembly">[8]pivot_bikes_model!$L$21</definedName>
    <definedName name="Shipping_cost_order___mile">'1_Solver'!$C$4</definedName>
    <definedName name="solver_adj" localSheetId="1" hidden="1">'1_Solver'!$C$11</definedName>
    <definedName name="solver_cvg" localSheetId="1" hidden="1">0.0001</definedName>
    <definedName name="solver_drv" localSheetId="1" hidden="1">1</definedName>
    <definedName name="solver_eng" localSheetId="1" hidden="1">3</definedName>
    <definedName name="solver_est" localSheetId="1" hidden="1">1</definedName>
    <definedName name="solver_itr" localSheetId="1" hidden="1">2147483647</definedName>
    <definedName name="solver_lhs1" localSheetId="1" hidden="1">'1_Solver'!$C$11</definedName>
    <definedName name="solver_lhs2" localSheetId="1" hidden="1">'1_Solver'!$C$11</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2</definedName>
    <definedName name="solver_nwt" localSheetId="1" hidden="1">1</definedName>
    <definedName name="solver_opt" localSheetId="1" hidden="1">'1_Solver'!$C$21</definedName>
    <definedName name="solver_pre" localSheetId="1" hidden="1">0.000001</definedName>
    <definedName name="solver_rbv" localSheetId="1" hidden="1">1</definedName>
    <definedName name="solver_rel1" localSheetId="1" hidden="1">1</definedName>
    <definedName name="solver_rel2" localSheetId="1" hidden="1">3</definedName>
    <definedName name="solver_rhs1" localSheetId="1" hidden="1">300</definedName>
    <definedName name="solver_rhs2"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2</definedName>
    <definedName name="solver_val" localSheetId="1" hidden="1">0</definedName>
    <definedName name="solver_ver" localSheetId="1" hidden="1">3</definedName>
    <definedName name="Solver_with_additional_trucks">'[4]1_greenleaf_organic'!$L$37</definedName>
    <definedName name="Storage_add_limit">[11]very_veggies!$E$27</definedName>
    <definedName name="Storage_effectively_added">[11]very_veggies!#REF!</definedName>
    <definedName name="Storage_maintenace_per_pound">[11]very_veggies!$E$28</definedName>
    <definedName name="Sugar">'[9]1_bullmonster'!$E$26</definedName>
    <definedName name="Taurine">'[9]1_bullmonster'!$E$21</definedName>
    <definedName name="te_10am" localSheetId="0">'[1]4_rental_professionals'!$H$6</definedName>
    <definedName name="te_10am">'[2]4_rental_professionals'!$H$6</definedName>
    <definedName name="te_11am" localSheetId="0">'[1]4_rental_professionals'!$H$7</definedName>
    <definedName name="te_11am">'[2]4_rental_professionals'!$H$7</definedName>
    <definedName name="te_12pm" localSheetId="0">'[1]4_rental_professionals'!$H$8</definedName>
    <definedName name="te_12pm">'[2]4_rental_professionals'!$H$8</definedName>
    <definedName name="te_1pm" localSheetId="0">'[1]4_rental_professionals'!$H$9</definedName>
    <definedName name="te_1pm">'[2]4_rental_professionals'!$H$9</definedName>
    <definedName name="te_2pm" localSheetId="0">'[1]4_rental_professionals'!$H$10</definedName>
    <definedName name="te_2pm">'[2]4_rental_professionals'!$H$10</definedName>
    <definedName name="te_3pm" localSheetId="0">'[1]4_rental_professionals'!$H$11</definedName>
    <definedName name="te_3pm">'[2]4_rental_professionals'!$H$11</definedName>
    <definedName name="te_4pm" localSheetId="0">'[1]4_rental_professionals'!$H$12</definedName>
    <definedName name="te_4pm">'[2]4_rental_professionals'!$H$12</definedName>
    <definedName name="te_5pm" localSheetId="0">'[1]4_rental_professionals'!$H$13</definedName>
    <definedName name="te_5pm">'[2]4_rental_professionals'!$H$13</definedName>
    <definedName name="te_6pm" localSheetId="0">'[1]4_rental_professionals'!$H$14</definedName>
    <definedName name="te_6pm">'[2]4_rental_professionals'!$H$14</definedName>
    <definedName name="te_8am" localSheetId="0">'[1]4_rental_professionals'!$H$4</definedName>
    <definedName name="te_8am">'[2]4_rental_professionals'!$H$4</definedName>
    <definedName name="te_9am" localSheetId="0">'[1]4_rental_professionals'!$H$5</definedName>
    <definedName name="te_9am">'[2]4_rental_professionals'!$H$5</definedName>
    <definedName name="Tgt_Cane_Lbs_Week">'[5]1_Sugar_Refining_Co'!$E$19</definedName>
    <definedName name="Tgt_LA_Prod_Hours">'[5]1_Sugar_Refining_Co'!$E$20</definedName>
    <definedName name="Tgt_lbs_per_rating">[7]Hood_Strawberries!$D$15:$D$17</definedName>
    <definedName name="Tgt_TO_Prod_Hours">'[5]1_Sugar_Refining_Co'!$E$21</definedName>
    <definedName name="Tgt_White_Lbs_Week">'[5]1_Sugar_Refining_Co'!$E$18</definedName>
    <definedName name="thirdt_eac_pelican">'[4]2_nemo_question'!$I$8</definedName>
    <definedName name="thirdt_eac_whale">'[4]2_nemo_question'!$H$8</definedName>
    <definedName name="thirdt_fs_pelican">'[4]2_nemo_question'!$I$9</definedName>
    <definedName name="thirdt_fs_whale">'[4]2_nemo_question'!$H$9</definedName>
    <definedName name="thirdt_jks2_pelican">'[4]2_nemo_question'!$I$10</definedName>
    <definedName name="thirdt_jks2_whale">'[4]2_nemo_question'!$H$10</definedName>
    <definedName name="Ticket_cost" localSheetId="4">'3 - Data Simulation'!$N$4</definedName>
    <definedName name="Ticket_cost" localSheetId="3">'3 - Question'!$C$3</definedName>
    <definedName name="tm_10am">#REF!</definedName>
    <definedName name="tm_11am">#REF!</definedName>
    <definedName name="tm_1pm">#REF!</definedName>
    <definedName name="tm_2pm">#REF!</definedName>
    <definedName name="tm_8am">#REF!</definedName>
    <definedName name="TO_cost_of_Sugar_per_Wk">'[5]1_Sugar_Refining_Co'!$B$15</definedName>
    <definedName name="TO_Cost_Per_lbs">'[5]1_Sugar_Refining_Co'!$C$6:$C$7</definedName>
    <definedName name="TO_Hour_Per_Lbs">'[5]1_Sugar_Refining_Co'!$E$6:$E$7</definedName>
    <definedName name="Total_annual_printer_rental_cost">'[3]1_Print_Shop'!$E$5</definedName>
    <definedName name="Total_applications_in" localSheetId="0">'[1]4_rental_professionals'!$C$16</definedName>
    <definedName name="Total_applications_in">#REF!</definedName>
    <definedName name="Total_applications_processed">#REF!</definedName>
    <definedName name="Total_apps_arriving">[7]Rental_of_CA!$E$26</definedName>
    <definedName name="Total_Apps_Process_per_hour">[7]Rental_of_CA!$C$4:$C$14</definedName>
    <definedName name="Total_Arrivals">'[5]4_Rental_of_CA'!$C$4:$C$14</definedName>
    <definedName name="Total_Assembly">'[4]4-2_pivot_bikes_model'!$L$24</definedName>
    <definedName name="Total_consultant_risk" localSheetId="2">'2_Complex_process_issue'!$E$83</definedName>
    <definedName name="Total_consultant_risk">#REF!</definedName>
    <definedName name="Total_fixed_costs">'[9]2_tygrim_farms'!$H$30</definedName>
    <definedName name="Total_frozen_lbs" localSheetId="0">'[1]2_berries_hood'!$F$18</definedName>
    <definedName name="Total_frozen_lbs">'[5]2_berries_hood'!$F$18</definedName>
    <definedName name="Total_frozen_profit" localSheetId="0">'[1]2_berries_hood'!$F$19</definedName>
    <definedName name="Total_frozen_profit">'[5]2_berries_hood'!$F$19</definedName>
    <definedName name="Total_Frozen_yield_lb" localSheetId="0">'[1]2_berries_hood'!$B$13</definedName>
    <definedName name="Total_Frozen_yield_lb">'[5]2_berries_hood'!$B$13</definedName>
    <definedName name="Total_FT" localSheetId="0">'[1]4_rental_professionals'!$H$24</definedName>
    <definedName name="Total_FT">'[2]4_rental_professionals'!$H$24</definedName>
    <definedName name="Total_FT_Pay" localSheetId="0">'[1]4_rental_professionals'!$H$25</definedName>
    <definedName name="Total_FT_Pay">'[2]4_rental_professionals'!$H$25</definedName>
    <definedName name="Total_Grade_2_lbs" localSheetId="0">'[1]2_berries_hood'!$I$15</definedName>
    <definedName name="Total_Grade_2_lbs">'[5]2_berries_hood'!$I$15</definedName>
    <definedName name="Total_Grade_4_lbs" localSheetId="0">'[1]2_berries_hood'!$I$16</definedName>
    <definedName name="Total_Grade_4_lbs">'[5]2_berries_hood'!$I$16</definedName>
    <definedName name="Total_Grade_5_lbs" localSheetId="0">'[1]2_berries_hood'!$I$17</definedName>
    <definedName name="Total_Grade_5_lbs">'[5]2_berries_hood'!$I$17</definedName>
    <definedName name="total_inc_dec_cost_m1" localSheetId="0">'[1]3_eco_rentals'!$B$20</definedName>
    <definedName name="total_inc_dec_cost_m1">'[2]3_eco_rentals'!$B$20</definedName>
    <definedName name="total_inc_dec_cost_m2" localSheetId="0">'[1]3_eco_rentals'!$C$20</definedName>
    <definedName name="total_inc_dec_cost_m2">'[2]3_eco_rentals'!$C$20</definedName>
    <definedName name="total_inc_dec_cost_m3" localSheetId="0">'[1]3_eco_rentals'!$D$20</definedName>
    <definedName name="total_inc_dec_cost_m3">'[2]3_eco_rentals'!$D$20</definedName>
    <definedName name="total_inc_dec_cost_m4" localSheetId="0">'[1]3_eco_rentals'!$E$20</definedName>
    <definedName name="total_inc_dec_cost_m4">'[2]3_eco_rentals'!$E$20</definedName>
    <definedName name="Total_income" localSheetId="3">'3 - Question'!$C$16</definedName>
    <definedName name="Total_juice_lbs" localSheetId="0">'[1]2_berries_hood'!$F$21</definedName>
    <definedName name="Total_juice_lbs">'[5]2_berries_hood'!$F$21</definedName>
    <definedName name="Total_juice_profit" localSheetId="0">'[1]2_berries_hood'!$F$22</definedName>
    <definedName name="Total_juice_profit">'[5]2_berries_hood'!$F$22</definedName>
    <definedName name="Total_Leftover_juice_yield_lb" localSheetId="0">'[1]2_berries_hood'!$B$16</definedName>
    <definedName name="Total_Leftover_juice_yield_lb">'[5]2_berries_hood'!$B$16</definedName>
    <definedName name="Total_Machine_1_cost">'[3]4_Cable_Manufacturing-v1'!$C$33</definedName>
    <definedName name="Total_Machine_2_cost">'[3]4_Cable_Manufacturing-v1'!$C$34</definedName>
    <definedName name="Total_Op_Cost_per_year">[6]Print_Shop!$G$10</definedName>
    <definedName name="Total_overbooked" localSheetId="3">'3 - Question'!$C$13</definedName>
    <definedName name="Total_overbooked">'[10]v1 - reference'!$C$13</definedName>
    <definedName name="Total_Pay">#REF!</definedName>
    <definedName name="Total_preserve_lbs" localSheetId="0">'[1]2_berries_hood'!$F$15</definedName>
    <definedName name="Total_preserve_lbs">'[5]2_berries_hood'!$F$15</definedName>
    <definedName name="Total_preserve_profit" localSheetId="0">'[1]2_berries_hood'!$F$16</definedName>
    <definedName name="Total_preserve_profit">'[5]2_berries_hood'!$F$16</definedName>
    <definedName name="Total_Preserve_yield_lb" localSheetId="0">'[1]2_berries_hood'!$B$10</definedName>
    <definedName name="Total_Preserve_yield_lb">'[5]2_berries_hood'!$B$10</definedName>
    <definedName name="Total_profit" localSheetId="3">'3 - Question'!$C$19</definedName>
    <definedName name="Total_PT" localSheetId="0">'[1]4_rental_professionals'!$H$26</definedName>
    <definedName name="Total_PT">'[2]4_rental_professionals'!$H$26</definedName>
    <definedName name="Total_PT_Pay" localSheetId="0">'[1]4_rental_professionals'!$H$27</definedName>
    <definedName name="Total_PT_Pay">'[2]4_rental_professionals'!$H$27</definedName>
    <definedName name="Total_revenue">[7]Hood_Strawberries!$B$22</definedName>
    <definedName name="Total_Segments_Captured">#REF!</definedName>
    <definedName name="Total_shipped">'[9]2_tygrim_farms'!$C$14:$E$14</definedName>
    <definedName name="Total_shipping_costs">'[9]2_tygrim_farms'!$H$23</definedName>
    <definedName name="total_shipping_p_to_w">'[9]5_Challenge - Eighth Method'!$X$9</definedName>
    <definedName name="total_shipping_w_to_c">'[9]5_Challenge - Eighth Method'!$AA$22</definedName>
    <definedName name="Total_store_overhead">'[3]1_Print_Shop'!$E$7</definedName>
    <definedName name="Total_tickets_sold" localSheetId="3">'3 - Question'!$C$12</definedName>
    <definedName name="Total_tickets_sold">'[10]v1 - reference'!$C$12</definedName>
    <definedName name="total_w1">'[9]5_Challenge - Eighth Method'!$O$9</definedName>
    <definedName name="total_w2">'[9]5_Challenge - Eighth Method'!$P$9</definedName>
    <definedName name="total_w3">'[9]5_Challenge - Eighth Method'!$Q$9</definedName>
    <definedName name="Total_worker_cost">[7]Rental_of_CA!$B$30</definedName>
    <definedName name="Total_workers_per_hour">'[5]4_Rental_of_CA'!$K$4:$K$14</definedName>
    <definedName name="Total_workers_per_shift">[7]Rental_of_CA!$I$4:$I$14</definedName>
    <definedName name="Trial_Reservations">'[10]Data Simulation 1'!$N$13</definedName>
    <definedName name="True_positive_rate__correct_violation" localSheetId="2">'2_Complex_process_issue'!$K$5</definedName>
    <definedName name="True_positive_rate__correct_violation">#REF!</definedName>
    <definedName name="Unit_cost">'[3]4_Cable_Manufacturing'!$B$7:$E$7</definedName>
    <definedName name="unit_cost_m_1_10mm">'[3]4_Cable_Manufacturing-v1'!$C$7</definedName>
    <definedName name="unit_cost_m_1_15mm">'[3]4_Cable_Manufacturing-v1'!$E$7</definedName>
    <definedName name="unit_cost_m_2_15mm">'[3]4_Cable_Manufacturing-v1'!$F$7</definedName>
    <definedName name="Unit_costs">#REF!</definedName>
    <definedName name="User_Experience" localSheetId="2">'2_Complex_process_issue'!$C$15:$E$15</definedName>
    <definedName name="User_Experience">#REF!</definedName>
    <definedName name="Var_Cost_per_lb">[7]Hood_Strawberries!$F$6:$F$8</definedName>
    <definedName name="Variable_Cost">[6]Print_Shop!$G$8</definedName>
    <definedName name="Vegetables_per_pound">[11]very_veggies!$E$29</definedName>
    <definedName name="Vegetables_under_per_pound">[11]very_veggies!$E$30</definedName>
    <definedName name="Vehicle_acquisition_cost" localSheetId="0">'[1]3_eco_rentals'!$B$3</definedName>
    <definedName name="Vehicle_acquisition_cost">'[2]3_eco_rentals'!$B$3</definedName>
    <definedName name="Vehicle_increase_cost" localSheetId="0">'[1]3_eco_rentals'!$B$5</definedName>
    <definedName name="Vehicle_increase_cost">'[2]3_eco_rentals'!$B$5</definedName>
    <definedName name="Vehicle_monthly_maintenance_cost" localSheetId="0">'[1]3_eco_rentals'!$B$4</definedName>
    <definedName name="Vehicle_monthly_maintenance_cost">'[2]3_eco_rentals'!$B$4</definedName>
    <definedName name="Vehicle_reduction_cost" localSheetId="0">'[1]3_eco_rentals'!$B$6</definedName>
    <definedName name="Vehicle_reduction_cost">'[2]3_eco_rentals'!$B$6</definedName>
    <definedName name="Vehicles_month_0" localSheetId="0">'[1]3_eco_rentals'!$B$7</definedName>
    <definedName name="Vehicles_month_0">'[2]3_eco_rentals'!$B$7</definedName>
    <definedName name="vehicles_to_purchase_m1" localSheetId="0">'[1]3_eco_rentals'!$B$17</definedName>
    <definedName name="vehicles_to_purchase_m1">'[2]3_eco_rentals'!$B$17</definedName>
    <definedName name="vehicles_to_purchase_m2" localSheetId="0">'[1]3_eco_rentals'!$C$17</definedName>
    <definedName name="vehicles_to_purchase_m2">'[2]3_eco_rentals'!$C$17</definedName>
    <definedName name="vehicles_to_purchase_m3" localSheetId="0">'[1]3_eco_rentals'!$D$17</definedName>
    <definedName name="vehicles_to_purchase_m3">'[2]3_eco_rentals'!$D$17</definedName>
    <definedName name="vehicles_to_purchase_m4" localSheetId="0">'[1]3_eco_rentals'!$E$17</definedName>
    <definedName name="vehicles_to_purchase_m4">'[2]3_eco_rentals'!$E$17</definedName>
    <definedName name="Warehouse_construction_cost">'1_Solver'!$C$17</definedName>
    <definedName name="Warehouse_maintenance_cost">'1_Solver'!$C$18</definedName>
    <definedName name="Warehouses__n">'1_Solver'!$C$11</definedName>
    <definedName name="Weight_limit">'[9]1_bullmonster'!$N$20:$N$26</definedName>
    <definedName name="Weighted_distance" localSheetId="0">'[1]5_week_2_challenge_linear'!$C$15:$C$18</definedName>
    <definedName name="Weighted_distance">'[2]5_week_2_challenge_linear'!$C$15:$C$18</definedName>
    <definedName name="Wilmington_Assembly">[8]pivot_bikes_model!$L$22</definedName>
    <definedName name="workstations_available">[7]Rental_of_CA!$E$25</definedName>
    <definedName name="Yearly_capacity">'[3]1_Print_Shop'!$B$16</definedName>
    <definedName name="Yearly_Rental_Cost">[6]Print_Shop!$C$2</definedName>
    <definedName name="Yearly_store_overhead">'[3]1_Print_Shop'!$B$9</definedName>
    <definedName name="Years">'1_Solver'!$C$19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9" l="1"/>
  <c r="H90" i="9"/>
  <c r="G87" i="9"/>
  <c r="G86" i="9"/>
  <c r="C67" i="9"/>
  <c r="C68" i="9" s="1"/>
  <c r="C66" i="9"/>
  <c r="C65" i="9"/>
  <c r="C62" i="9"/>
  <c r="C61" i="9"/>
  <c r="H48" i="9"/>
  <c r="E48" i="9"/>
  <c r="I48" i="9" s="1"/>
  <c r="H47" i="9"/>
  <c r="E47" i="9"/>
  <c r="I47" i="9" s="1"/>
  <c r="H44" i="9"/>
  <c r="E44" i="9"/>
  <c r="I44" i="9" s="1"/>
  <c r="H43" i="9"/>
  <c r="E43" i="9"/>
  <c r="H42" i="9"/>
  <c r="E42" i="9"/>
  <c r="I42" i="9" s="1"/>
  <c r="H39" i="9"/>
  <c r="I39" i="9" s="1"/>
  <c r="I38" i="9" s="1"/>
  <c r="D56" i="9" s="1"/>
  <c r="H36" i="9"/>
  <c r="E36" i="9"/>
  <c r="I36" i="9" s="1"/>
  <c r="H35" i="9"/>
  <c r="E35" i="9"/>
  <c r="I35" i="9" s="1"/>
  <c r="H34" i="9"/>
  <c r="E34" i="9"/>
  <c r="C72" i="9" l="1"/>
  <c r="I34" i="9"/>
  <c r="I33" i="9" s="1"/>
  <c r="I46" i="9"/>
  <c r="C77" i="9"/>
  <c r="C78" i="9" s="1"/>
  <c r="I43" i="9"/>
  <c r="I41" i="9"/>
  <c r="H93" i="9" s="1"/>
  <c r="E87" i="9"/>
  <c r="H87" i="9" s="1"/>
  <c r="E86" i="9"/>
  <c r="H86" i="9" s="1"/>
  <c r="E85" i="9"/>
  <c r="C71" i="9"/>
  <c r="E84" i="9" s="1"/>
  <c r="H84" i="9" s="1"/>
  <c r="H85" i="9" l="1"/>
  <c r="H89" i="9"/>
  <c r="H92" i="9" s="1"/>
  <c r="H95" i="9" s="1"/>
  <c r="C75" i="9"/>
  <c r="C76" i="9" s="1"/>
  <c r="C18" i="8"/>
  <c r="C16" i="8"/>
  <c r="C17" i="8" s="1"/>
  <c r="C13" i="8"/>
  <c r="C14" i="8" s="1"/>
  <c r="C15" i="8" s="1"/>
  <c r="G102" i="4"/>
  <c r="B102" i="4"/>
  <c r="F102" i="4" s="1"/>
  <c r="G101" i="4"/>
  <c r="B101" i="4"/>
  <c r="F101" i="4" s="1"/>
  <c r="G100" i="4"/>
  <c r="B100" i="4"/>
  <c r="F100" i="4" s="1"/>
  <c r="G99" i="4"/>
  <c r="B99" i="4"/>
  <c r="F99" i="4" s="1"/>
  <c r="G98" i="4"/>
  <c r="B98" i="4"/>
  <c r="F98" i="4" s="1"/>
  <c r="G97" i="4"/>
  <c r="B97" i="4"/>
  <c r="F97" i="4" s="1"/>
  <c r="G96" i="4"/>
  <c r="B96" i="4"/>
  <c r="F96" i="4" s="1"/>
  <c r="G95" i="4"/>
  <c r="B95" i="4"/>
  <c r="F95" i="4" s="1"/>
  <c r="G94" i="4"/>
  <c r="B94" i="4"/>
  <c r="F94" i="4" s="1"/>
  <c r="G93" i="4"/>
  <c r="B93" i="4"/>
  <c r="F93" i="4" s="1"/>
  <c r="G92" i="4"/>
  <c r="B92" i="4"/>
  <c r="F92" i="4" s="1"/>
  <c r="G91" i="4"/>
  <c r="B91" i="4"/>
  <c r="F91" i="4" s="1"/>
  <c r="G90" i="4"/>
  <c r="B90" i="4"/>
  <c r="F90" i="4" s="1"/>
  <c r="G89" i="4"/>
  <c r="B89" i="4"/>
  <c r="F89" i="4" s="1"/>
  <c r="G88" i="4"/>
  <c r="B88" i="4"/>
  <c r="F88" i="4" s="1"/>
  <c r="G87" i="4"/>
  <c r="B87" i="4"/>
  <c r="F87" i="4" s="1"/>
  <c r="G86" i="4"/>
  <c r="B86" i="4"/>
  <c r="F86" i="4" s="1"/>
  <c r="G85" i="4"/>
  <c r="B85" i="4"/>
  <c r="F85" i="4" s="1"/>
  <c r="G84" i="4"/>
  <c r="B84" i="4"/>
  <c r="F84" i="4" s="1"/>
  <c r="G83" i="4"/>
  <c r="B83" i="4"/>
  <c r="F83" i="4" s="1"/>
  <c r="G82" i="4"/>
  <c r="B82" i="4"/>
  <c r="F82" i="4" s="1"/>
  <c r="G81" i="4"/>
  <c r="B81" i="4"/>
  <c r="F81" i="4" s="1"/>
  <c r="G80" i="4"/>
  <c r="B80" i="4"/>
  <c r="F80" i="4" s="1"/>
  <c r="G79" i="4"/>
  <c r="B79" i="4"/>
  <c r="F79" i="4" s="1"/>
  <c r="G78" i="4"/>
  <c r="B78" i="4"/>
  <c r="F78" i="4" s="1"/>
  <c r="G77" i="4"/>
  <c r="B77" i="4"/>
  <c r="F77" i="4" s="1"/>
  <c r="G76" i="4"/>
  <c r="B76" i="4"/>
  <c r="F76" i="4" s="1"/>
  <c r="G75" i="4"/>
  <c r="B75" i="4"/>
  <c r="F75" i="4" s="1"/>
  <c r="G74" i="4"/>
  <c r="B74" i="4"/>
  <c r="F74" i="4" s="1"/>
  <c r="G73" i="4"/>
  <c r="B73" i="4"/>
  <c r="F73" i="4" s="1"/>
  <c r="G72" i="4"/>
  <c r="B72" i="4"/>
  <c r="F72" i="4" s="1"/>
  <c r="G71" i="4"/>
  <c r="B71" i="4"/>
  <c r="F71" i="4" s="1"/>
  <c r="G70" i="4"/>
  <c r="B70" i="4"/>
  <c r="F70" i="4" s="1"/>
  <c r="G69" i="4"/>
  <c r="B69" i="4"/>
  <c r="F69" i="4" s="1"/>
  <c r="G68" i="4"/>
  <c r="B68" i="4"/>
  <c r="F68" i="4" s="1"/>
  <c r="G67" i="4"/>
  <c r="B67" i="4"/>
  <c r="F67" i="4" s="1"/>
  <c r="G66" i="4"/>
  <c r="B66" i="4"/>
  <c r="F66" i="4" s="1"/>
  <c r="G65" i="4"/>
  <c r="B65" i="4"/>
  <c r="F65" i="4" s="1"/>
  <c r="G64" i="4"/>
  <c r="B64" i="4"/>
  <c r="F64" i="4" s="1"/>
  <c r="G63" i="4"/>
  <c r="B63" i="4"/>
  <c r="F63" i="4" s="1"/>
  <c r="G62" i="4"/>
  <c r="B62" i="4"/>
  <c r="F62" i="4" s="1"/>
  <c r="G61" i="4"/>
  <c r="B61" i="4"/>
  <c r="F61" i="4" s="1"/>
  <c r="G60" i="4"/>
  <c r="B60" i="4"/>
  <c r="F60" i="4" s="1"/>
  <c r="G59" i="4"/>
  <c r="B59" i="4"/>
  <c r="F59" i="4" s="1"/>
  <c r="G58" i="4"/>
  <c r="B58" i="4"/>
  <c r="F58" i="4" s="1"/>
  <c r="G57" i="4"/>
  <c r="B57" i="4"/>
  <c r="F57" i="4" s="1"/>
  <c r="G56" i="4"/>
  <c r="B56" i="4"/>
  <c r="F56" i="4" s="1"/>
  <c r="G55" i="4"/>
  <c r="B55" i="4"/>
  <c r="F55" i="4" s="1"/>
  <c r="G54" i="4"/>
  <c r="B54" i="4"/>
  <c r="F54" i="4" s="1"/>
  <c r="G53" i="4"/>
  <c r="B53" i="4"/>
  <c r="F53" i="4" s="1"/>
  <c r="G52" i="4"/>
  <c r="B52" i="4"/>
  <c r="F52" i="4" s="1"/>
  <c r="G51" i="4"/>
  <c r="B51" i="4"/>
  <c r="F51" i="4" s="1"/>
  <c r="G50" i="4"/>
  <c r="B50" i="4"/>
  <c r="F50" i="4" s="1"/>
  <c r="G49" i="4"/>
  <c r="B49" i="4"/>
  <c r="F49" i="4" s="1"/>
  <c r="G48" i="4"/>
  <c r="B48" i="4"/>
  <c r="F48" i="4" s="1"/>
  <c r="G47" i="4"/>
  <c r="B47" i="4"/>
  <c r="F47" i="4" s="1"/>
  <c r="G46" i="4"/>
  <c r="B46" i="4"/>
  <c r="F46" i="4" s="1"/>
  <c r="G45" i="4"/>
  <c r="B45" i="4"/>
  <c r="F45" i="4" s="1"/>
  <c r="G44" i="4"/>
  <c r="B44" i="4"/>
  <c r="F44" i="4" s="1"/>
  <c r="G43" i="4"/>
  <c r="B43" i="4"/>
  <c r="F43" i="4" s="1"/>
  <c r="G42" i="4"/>
  <c r="B42" i="4"/>
  <c r="F42" i="4" s="1"/>
  <c r="G41" i="4"/>
  <c r="B41" i="4"/>
  <c r="F41" i="4" s="1"/>
  <c r="G40" i="4"/>
  <c r="B40" i="4"/>
  <c r="F40" i="4" s="1"/>
  <c r="G39" i="4"/>
  <c r="B39" i="4"/>
  <c r="F39" i="4" s="1"/>
  <c r="G38" i="4"/>
  <c r="B38" i="4"/>
  <c r="F38" i="4" s="1"/>
  <c r="G37" i="4"/>
  <c r="B37" i="4"/>
  <c r="F37" i="4" s="1"/>
  <c r="G36" i="4"/>
  <c r="B36" i="4"/>
  <c r="F36" i="4" s="1"/>
  <c r="G35" i="4"/>
  <c r="B35" i="4"/>
  <c r="F35" i="4" s="1"/>
  <c r="S34" i="4"/>
  <c r="Q34" i="4"/>
  <c r="G34" i="4"/>
  <c r="B34" i="4"/>
  <c r="F34" i="4" s="1"/>
  <c r="S33" i="4"/>
  <c r="Q33" i="4"/>
  <c r="G33" i="4"/>
  <c r="B33" i="4"/>
  <c r="F33" i="4" s="1"/>
  <c r="S32" i="4"/>
  <c r="Q32" i="4"/>
  <c r="G32" i="4"/>
  <c r="B32" i="4"/>
  <c r="F32" i="4" s="1"/>
  <c r="S31" i="4"/>
  <c r="Q31" i="4"/>
  <c r="G31" i="4"/>
  <c r="B31" i="4"/>
  <c r="F31" i="4" s="1"/>
  <c r="S30" i="4"/>
  <c r="Q30" i="4"/>
  <c r="G30" i="4"/>
  <c r="B30" i="4"/>
  <c r="F30" i="4" s="1"/>
  <c r="S29" i="4"/>
  <c r="Q29" i="4"/>
  <c r="G29" i="4"/>
  <c r="B29" i="4"/>
  <c r="F29" i="4" s="1"/>
  <c r="S28" i="4"/>
  <c r="Q28" i="4"/>
  <c r="G28" i="4"/>
  <c r="B28" i="4"/>
  <c r="F28" i="4" s="1"/>
  <c r="S27" i="4"/>
  <c r="G27" i="4"/>
  <c r="B27" i="4"/>
  <c r="F27" i="4" s="1"/>
  <c r="S26" i="4"/>
  <c r="Q26" i="4"/>
  <c r="G26" i="4"/>
  <c r="B26" i="4"/>
  <c r="F26" i="4" s="1"/>
  <c r="S25" i="4"/>
  <c r="Q25" i="4"/>
  <c r="G25" i="4"/>
  <c r="B25" i="4"/>
  <c r="F25" i="4" s="1"/>
  <c r="S24" i="4"/>
  <c r="Q24" i="4"/>
  <c r="G24" i="4"/>
  <c r="B24" i="4"/>
  <c r="F24" i="4" s="1"/>
  <c r="S23" i="4"/>
  <c r="Q23" i="4"/>
  <c r="G23" i="4"/>
  <c r="B23" i="4"/>
  <c r="F23" i="4" s="1"/>
  <c r="S22" i="4"/>
  <c r="Q22" i="4"/>
  <c r="G22" i="4"/>
  <c r="B22" i="4"/>
  <c r="F22" i="4" s="1"/>
  <c r="S21" i="4"/>
  <c r="Q21" i="4"/>
  <c r="G21" i="4"/>
  <c r="B21" i="4"/>
  <c r="F21" i="4" s="1"/>
  <c r="S20" i="4"/>
  <c r="Q20" i="4"/>
  <c r="G20" i="4"/>
  <c r="B20" i="4"/>
  <c r="F20" i="4" s="1"/>
  <c r="S19" i="4"/>
  <c r="Q19" i="4"/>
  <c r="G19" i="4"/>
  <c r="B19" i="4"/>
  <c r="F19" i="4" s="1"/>
  <c r="G18" i="4"/>
  <c r="B18" i="4"/>
  <c r="F18" i="4" s="1"/>
  <c r="G17" i="4"/>
  <c r="B17" i="4"/>
  <c r="F17" i="4" s="1"/>
  <c r="G16" i="4"/>
  <c r="B16" i="4"/>
  <c r="F16" i="4" s="1"/>
  <c r="G15" i="4"/>
  <c r="B15" i="4"/>
  <c r="F15" i="4" s="1"/>
  <c r="G14" i="4"/>
  <c r="B14" i="4"/>
  <c r="F14" i="4" s="1"/>
  <c r="G13" i="4"/>
  <c r="B13" i="4"/>
  <c r="F13" i="4" s="1"/>
  <c r="G12" i="4"/>
  <c r="B12" i="4"/>
  <c r="F12" i="4" s="1"/>
  <c r="G11" i="4"/>
  <c r="B11" i="4"/>
  <c r="F11" i="4" s="1"/>
  <c r="G10" i="4"/>
  <c r="B10" i="4"/>
  <c r="F10" i="4" s="1"/>
  <c r="G9" i="4"/>
  <c r="B9" i="4"/>
  <c r="F9" i="4" s="1"/>
  <c r="G8" i="4"/>
  <c r="B8" i="4"/>
  <c r="F8" i="4" s="1"/>
  <c r="G7" i="4"/>
  <c r="B7" i="4"/>
  <c r="F7" i="4" s="1"/>
  <c r="G6" i="4"/>
  <c r="B6" i="4"/>
  <c r="F6" i="4" s="1"/>
  <c r="G5" i="4"/>
  <c r="B5" i="4"/>
  <c r="F5" i="4" s="1"/>
  <c r="G4" i="4"/>
  <c r="B4" i="4"/>
  <c r="F4" i="4" s="1"/>
  <c r="G3" i="4"/>
  <c r="B3" i="4"/>
  <c r="C83" i="4" s="1"/>
  <c r="D83" i="4" s="1"/>
  <c r="H83" i="4" s="1"/>
  <c r="C15" i="4" l="1"/>
  <c r="E15" i="4" s="1"/>
  <c r="I15" i="4" s="1"/>
  <c r="C23" i="4"/>
  <c r="C39" i="4"/>
  <c r="E39" i="4" s="1"/>
  <c r="I39" i="4" s="1"/>
  <c r="C21" i="8"/>
  <c r="C93" i="4"/>
  <c r="E93" i="4" s="1"/>
  <c r="I93" i="4" s="1"/>
  <c r="C20" i="4"/>
  <c r="E20" i="4" s="1"/>
  <c r="I20" i="4" s="1"/>
  <c r="C13" i="4"/>
  <c r="D13" i="4" s="1"/>
  <c r="H13" i="4" s="1"/>
  <c r="C22" i="4"/>
  <c r="D22" i="4" s="1"/>
  <c r="H22" i="4" s="1"/>
  <c r="C91" i="4"/>
  <c r="D91" i="4" s="1"/>
  <c r="H91" i="4" s="1"/>
  <c r="C85" i="4"/>
  <c r="E85" i="4" s="1"/>
  <c r="I85" i="4" s="1"/>
  <c r="C8" i="4"/>
  <c r="D8" i="4" s="1"/>
  <c r="H8" i="4" s="1"/>
  <c r="C24" i="4"/>
  <c r="D24" i="4" s="1"/>
  <c r="H24" i="4" s="1"/>
  <c r="C77" i="4"/>
  <c r="D77" i="4" s="1"/>
  <c r="H77" i="4" s="1"/>
  <c r="C48" i="4"/>
  <c r="E48" i="4" s="1"/>
  <c r="I48" i="4" s="1"/>
  <c r="C45" i="4"/>
  <c r="D45" i="4" s="1"/>
  <c r="H45" i="4" s="1"/>
  <c r="C31" i="4"/>
  <c r="E31" i="4" s="1"/>
  <c r="I31" i="4" s="1"/>
  <c r="C101" i="4"/>
  <c r="E101" i="4" s="1"/>
  <c r="I101" i="4" s="1"/>
  <c r="C75" i="4"/>
  <c r="D75" i="4" s="1"/>
  <c r="H75" i="4" s="1"/>
  <c r="C69" i="4"/>
  <c r="E69" i="4" s="1"/>
  <c r="I69" i="4" s="1"/>
  <c r="C43" i="4"/>
  <c r="D43" i="4" s="1"/>
  <c r="H43" i="4" s="1"/>
  <c r="C67" i="4"/>
  <c r="D67" i="4" s="1"/>
  <c r="H67" i="4" s="1"/>
  <c r="C99" i="4"/>
  <c r="D99" i="4" s="1"/>
  <c r="H99" i="4" s="1"/>
  <c r="C33" i="4"/>
  <c r="C34" i="4"/>
  <c r="C35" i="4"/>
  <c r="E83" i="4"/>
  <c r="I83" i="4" s="1"/>
  <c r="J83" i="4" s="1"/>
  <c r="C100" i="4"/>
  <c r="C92" i="4"/>
  <c r="C84" i="4"/>
  <c r="C76" i="4"/>
  <c r="C68" i="4"/>
  <c r="C60" i="4"/>
  <c r="C52" i="4"/>
  <c r="C44" i="4"/>
  <c r="C36" i="4"/>
  <c r="C30" i="4"/>
  <c r="C27" i="4"/>
  <c r="C19" i="4"/>
  <c r="C12" i="4"/>
  <c r="C98" i="4"/>
  <c r="C90" i="4"/>
  <c r="C82" i="4"/>
  <c r="C74" i="4"/>
  <c r="C66" i="4"/>
  <c r="C58" i="4"/>
  <c r="C50" i="4"/>
  <c r="C42" i="4"/>
  <c r="C32" i="4"/>
  <c r="C21" i="4"/>
  <c r="C17" i="4"/>
  <c r="C10" i="4"/>
  <c r="C97" i="4"/>
  <c r="C89" i="4"/>
  <c r="C81" i="4"/>
  <c r="C73" i="4"/>
  <c r="C65" i="4"/>
  <c r="C57" i="4"/>
  <c r="C49" i="4"/>
  <c r="C41" i="4"/>
  <c r="C29" i="4"/>
  <c r="C26" i="4"/>
  <c r="C16" i="4"/>
  <c r="C9" i="4"/>
  <c r="C96" i="4"/>
  <c r="C88" i="4"/>
  <c r="C80" i="4"/>
  <c r="C72" i="4"/>
  <c r="C64" i="4"/>
  <c r="C56" i="4"/>
  <c r="C95" i="4"/>
  <c r="C87" i="4"/>
  <c r="C79" i="4"/>
  <c r="C71" i="4"/>
  <c r="C63" i="4"/>
  <c r="C55" i="4"/>
  <c r="C102" i="4"/>
  <c r="C94" i="4"/>
  <c r="C86" i="4"/>
  <c r="C78" i="4"/>
  <c r="C70" i="4"/>
  <c r="C62" i="4"/>
  <c r="C54" i="4"/>
  <c r="C46" i="4"/>
  <c r="C38" i="4"/>
  <c r="C28" i="4"/>
  <c r="C25" i="4"/>
  <c r="C14" i="4"/>
  <c r="C6" i="4"/>
  <c r="F3" i="4"/>
  <c r="C7" i="4"/>
  <c r="C11" i="4"/>
  <c r="C18" i="4"/>
  <c r="C37" i="4"/>
  <c r="C47" i="4"/>
  <c r="C59" i="4"/>
  <c r="C61" i="4"/>
  <c r="C3" i="4"/>
  <c r="C4" i="4"/>
  <c r="C5" i="4"/>
  <c r="C40" i="4"/>
  <c r="C51" i="4"/>
  <c r="C53" i="4"/>
  <c r="E23" i="4"/>
  <c r="I23" i="4" s="1"/>
  <c r="D23" i="4"/>
  <c r="H23" i="4" s="1"/>
  <c r="D15" i="4" l="1"/>
  <c r="H15" i="4" s="1"/>
  <c r="J15" i="4" s="1"/>
  <c r="D39" i="4"/>
  <c r="H39" i="4" s="1"/>
  <c r="J39" i="4" s="1"/>
  <c r="D93" i="4"/>
  <c r="H93" i="4" s="1"/>
  <c r="J93" i="4" s="1"/>
  <c r="E45" i="4"/>
  <c r="I45" i="4" s="1"/>
  <c r="J45" i="4" s="1"/>
  <c r="E91" i="4"/>
  <c r="I91" i="4" s="1"/>
  <c r="J91" i="4" s="1"/>
  <c r="E43" i="4"/>
  <c r="I43" i="4" s="1"/>
  <c r="J43" i="4" s="1"/>
  <c r="E67" i="4"/>
  <c r="I67" i="4" s="1"/>
  <c r="J67" i="4" s="1"/>
  <c r="D20" i="4"/>
  <c r="H20" i="4" s="1"/>
  <c r="J20" i="4" s="1"/>
  <c r="E8" i="4"/>
  <c r="I8" i="4" s="1"/>
  <c r="J8" i="4" s="1"/>
  <c r="D85" i="4"/>
  <c r="H85" i="4" s="1"/>
  <c r="J85" i="4" s="1"/>
  <c r="E99" i="4"/>
  <c r="I99" i="4" s="1"/>
  <c r="J99" i="4" s="1"/>
  <c r="E75" i="4"/>
  <c r="I75" i="4" s="1"/>
  <c r="J75" i="4" s="1"/>
  <c r="D48" i="4"/>
  <c r="H48" i="4" s="1"/>
  <c r="J48" i="4" s="1"/>
  <c r="E13" i="4"/>
  <c r="I13" i="4" s="1"/>
  <c r="J13" i="4" s="1"/>
  <c r="D69" i="4"/>
  <c r="H69" i="4" s="1"/>
  <c r="J69" i="4" s="1"/>
  <c r="E77" i="4"/>
  <c r="I77" i="4" s="1"/>
  <c r="J77" i="4" s="1"/>
  <c r="E24" i="4"/>
  <c r="I24" i="4" s="1"/>
  <c r="J24" i="4" s="1"/>
  <c r="D101" i="4"/>
  <c r="H101" i="4" s="1"/>
  <c r="J101" i="4" s="1"/>
  <c r="E22" i="4"/>
  <c r="I22" i="4" s="1"/>
  <c r="J22" i="4" s="1"/>
  <c r="D31" i="4"/>
  <c r="H31" i="4" s="1"/>
  <c r="J31" i="4" s="1"/>
  <c r="J23" i="4"/>
  <c r="D11" i="4"/>
  <c r="H11" i="4" s="1"/>
  <c r="E11" i="4"/>
  <c r="I11" i="4" s="1"/>
  <c r="E36" i="4"/>
  <c r="I36" i="4" s="1"/>
  <c r="D36" i="4"/>
  <c r="H36" i="4" s="1"/>
  <c r="D59" i="4"/>
  <c r="H59" i="4" s="1"/>
  <c r="E59" i="4"/>
  <c r="I59" i="4" s="1"/>
  <c r="D51" i="4"/>
  <c r="H51" i="4" s="1"/>
  <c r="E51" i="4"/>
  <c r="I51" i="4" s="1"/>
  <c r="D38" i="4"/>
  <c r="H38" i="4" s="1"/>
  <c r="E38" i="4"/>
  <c r="I38" i="4" s="1"/>
  <c r="E102" i="4"/>
  <c r="I102" i="4" s="1"/>
  <c r="D102" i="4"/>
  <c r="H102" i="4" s="1"/>
  <c r="E64" i="4"/>
  <c r="I64" i="4" s="1"/>
  <c r="D64" i="4"/>
  <c r="H64" i="4" s="1"/>
  <c r="D29" i="4"/>
  <c r="H29" i="4" s="1"/>
  <c r="E29" i="4"/>
  <c r="I29" i="4" s="1"/>
  <c r="D97" i="4"/>
  <c r="H97" i="4" s="1"/>
  <c r="E97" i="4"/>
  <c r="I97" i="4" s="1"/>
  <c r="E66" i="4"/>
  <c r="I66" i="4" s="1"/>
  <c r="D66" i="4"/>
  <c r="H66" i="4" s="1"/>
  <c r="E30" i="4"/>
  <c r="I30" i="4" s="1"/>
  <c r="D30" i="4"/>
  <c r="H30" i="4" s="1"/>
  <c r="E92" i="4"/>
  <c r="I92" i="4" s="1"/>
  <c r="D92" i="4"/>
  <c r="H92" i="4" s="1"/>
  <c r="E72" i="4"/>
  <c r="I72" i="4" s="1"/>
  <c r="D72" i="4"/>
  <c r="H72" i="4" s="1"/>
  <c r="D35" i="4"/>
  <c r="H35" i="4" s="1"/>
  <c r="E35" i="4"/>
  <c r="I35" i="4" s="1"/>
  <c r="E54" i="4"/>
  <c r="I54" i="4" s="1"/>
  <c r="D54" i="4"/>
  <c r="H54" i="4" s="1"/>
  <c r="E80" i="4"/>
  <c r="I80" i="4" s="1"/>
  <c r="D80" i="4"/>
  <c r="H80" i="4" s="1"/>
  <c r="D49" i="4"/>
  <c r="H49" i="4" s="1"/>
  <c r="E49" i="4"/>
  <c r="I49" i="4" s="1"/>
  <c r="E82" i="4"/>
  <c r="I82" i="4" s="1"/>
  <c r="D82" i="4"/>
  <c r="H82" i="4" s="1"/>
  <c r="E44" i="4"/>
  <c r="I44" i="4" s="1"/>
  <c r="D44" i="4"/>
  <c r="H44" i="4" s="1"/>
  <c r="E34" i="4"/>
  <c r="I34" i="4" s="1"/>
  <c r="D34" i="4"/>
  <c r="H34" i="4" s="1"/>
  <c r="E40" i="4"/>
  <c r="I40" i="4" s="1"/>
  <c r="D40" i="4"/>
  <c r="H40" i="4" s="1"/>
  <c r="E62" i="4"/>
  <c r="I62" i="4" s="1"/>
  <c r="D62" i="4"/>
  <c r="H62" i="4" s="1"/>
  <c r="E71" i="4"/>
  <c r="I71" i="4" s="1"/>
  <c r="D71" i="4"/>
  <c r="H71" i="4" s="1"/>
  <c r="E88" i="4"/>
  <c r="I88" i="4" s="1"/>
  <c r="D88" i="4"/>
  <c r="H88" i="4" s="1"/>
  <c r="D57" i="4"/>
  <c r="H57" i="4" s="1"/>
  <c r="E57" i="4"/>
  <c r="I57" i="4" s="1"/>
  <c r="E21" i="4"/>
  <c r="I21" i="4" s="1"/>
  <c r="D21" i="4"/>
  <c r="H21" i="4" s="1"/>
  <c r="E90" i="4"/>
  <c r="I90" i="4" s="1"/>
  <c r="D90" i="4"/>
  <c r="H90" i="4" s="1"/>
  <c r="E52" i="4"/>
  <c r="I52" i="4" s="1"/>
  <c r="D52" i="4"/>
  <c r="H52" i="4" s="1"/>
  <c r="D33" i="4"/>
  <c r="H33" i="4" s="1"/>
  <c r="E33" i="4"/>
  <c r="I33" i="4" s="1"/>
  <c r="E55" i="4"/>
  <c r="I55" i="4" s="1"/>
  <c r="D55" i="4"/>
  <c r="H55" i="4" s="1"/>
  <c r="E100" i="4"/>
  <c r="I100" i="4" s="1"/>
  <c r="D100" i="4"/>
  <c r="H100" i="4" s="1"/>
  <c r="E63" i="4"/>
  <c r="I63" i="4" s="1"/>
  <c r="D63" i="4"/>
  <c r="H63" i="4" s="1"/>
  <c r="E17" i="4"/>
  <c r="I17" i="4" s="1"/>
  <c r="D17" i="4"/>
  <c r="H17" i="4" s="1"/>
  <c r="D5" i="4"/>
  <c r="H5" i="4" s="1"/>
  <c r="E5" i="4"/>
  <c r="I5" i="4" s="1"/>
  <c r="E6" i="4"/>
  <c r="I6" i="4" s="1"/>
  <c r="D6" i="4"/>
  <c r="H6" i="4" s="1"/>
  <c r="E70" i="4"/>
  <c r="I70" i="4" s="1"/>
  <c r="D70" i="4"/>
  <c r="H70" i="4" s="1"/>
  <c r="E79" i="4"/>
  <c r="I79" i="4" s="1"/>
  <c r="D79" i="4"/>
  <c r="H79" i="4" s="1"/>
  <c r="E96" i="4"/>
  <c r="I96" i="4" s="1"/>
  <c r="D96" i="4"/>
  <c r="H96" i="4" s="1"/>
  <c r="D65" i="4"/>
  <c r="H65" i="4" s="1"/>
  <c r="E65" i="4"/>
  <c r="I65" i="4" s="1"/>
  <c r="E32" i="4"/>
  <c r="I32" i="4" s="1"/>
  <c r="D32" i="4"/>
  <c r="H32" i="4" s="1"/>
  <c r="E98" i="4"/>
  <c r="I98" i="4" s="1"/>
  <c r="D98" i="4"/>
  <c r="H98" i="4" s="1"/>
  <c r="E60" i="4"/>
  <c r="I60" i="4" s="1"/>
  <c r="D60" i="4"/>
  <c r="H60" i="4" s="1"/>
  <c r="E46" i="4"/>
  <c r="I46" i="4" s="1"/>
  <c r="D46" i="4"/>
  <c r="H46" i="4" s="1"/>
  <c r="E10" i="4"/>
  <c r="I10" i="4" s="1"/>
  <c r="D10" i="4"/>
  <c r="H10" i="4" s="1"/>
  <c r="E4" i="4"/>
  <c r="I4" i="4" s="1"/>
  <c r="D4" i="4"/>
  <c r="H4" i="4" s="1"/>
  <c r="E47" i="4"/>
  <c r="I47" i="4" s="1"/>
  <c r="D47" i="4"/>
  <c r="H47" i="4" s="1"/>
  <c r="E14" i="4"/>
  <c r="I14" i="4" s="1"/>
  <c r="D14" i="4"/>
  <c r="H14" i="4" s="1"/>
  <c r="E78" i="4"/>
  <c r="I78" i="4" s="1"/>
  <c r="D78" i="4"/>
  <c r="H78" i="4" s="1"/>
  <c r="E87" i="4"/>
  <c r="I87" i="4" s="1"/>
  <c r="D87" i="4"/>
  <c r="H87" i="4" s="1"/>
  <c r="D9" i="4"/>
  <c r="H9" i="4" s="1"/>
  <c r="E9" i="4"/>
  <c r="I9" i="4" s="1"/>
  <c r="D73" i="4"/>
  <c r="H73" i="4" s="1"/>
  <c r="E73" i="4"/>
  <c r="I73" i="4" s="1"/>
  <c r="E42" i="4"/>
  <c r="I42" i="4" s="1"/>
  <c r="D42" i="4"/>
  <c r="H42" i="4" s="1"/>
  <c r="E12" i="4"/>
  <c r="I12" i="4" s="1"/>
  <c r="D12" i="4"/>
  <c r="H12" i="4" s="1"/>
  <c r="E68" i="4"/>
  <c r="I68" i="4" s="1"/>
  <c r="D68" i="4"/>
  <c r="H68" i="4" s="1"/>
  <c r="D41" i="4"/>
  <c r="H41" i="4" s="1"/>
  <c r="E41" i="4"/>
  <c r="I41" i="4" s="1"/>
  <c r="E3" i="4"/>
  <c r="I3" i="4" s="1"/>
  <c r="D3" i="4"/>
  <c r="H3" i="4" s="1"/>
  <c r="D37" i="4"/>
  <c r="H37" i="4" s="1"/>
  <c r="E37" i="4"/>
  <c r="I37" i="4" s="1"/>
  <c r="E25" i="4"/>
  <c r="I25" i="4" s="1"/>
  <c r="D25" i="4"/>
  <c r="H25" i="4" s="1"/>
  <c r="E86" i="4"/>
  <c r="I86" i="4" s="1"/>
  <c r="D86" i="4"/>
  <c r="H86" i="4" s="1"/>
  <c r="E95" i="4"/>
  <c r="I95" i="4" s="1"/>
  <c r="D95" i="4"/>
  <c r="H95" i="4" s="1"/>
  <c r="D16" i="4"/>
  <c r="H16" i="4" s="1"/>
  <c r="E16" i="4"/>
  <c r="I16" i="4" s="1"/>
  <c r="D81" i="4"/>
  <c r="H81" i="4" s="1"/>
  <c r="E81" i="4"/>
  <c r="I81" i="4" s="1"/>
  <c r="E50" i="4"/>
  <c r="I50" i="4" s="1"/>
  <c r="D50" i="4"/>
  <c r="H50" i="4" s="1"/>
  <c r="E19" i="4"/>
  <c r="I19" i="4" s="1"/>
  <c r="D19" i="4"/>
  <c r="H19" i="4" s="1"/>
  <c r="E76" i="4"/>
  <c r="I76" i="4" s="1"/>
  <c r="D76" i="4"/>
  <c r="H76" i="4" s="1"/>
  <c r="E61" i="4"/>
  <c r="I61" i="4" s="1"/>
  <c r="D61" i="4"/>
  <c r="H61" i="4" s="1"/>
  <c r="E74" i="4"/>
  <c r="I74" i="4" s="1"/>
  <c r="D74" i="4"/>
  <c r="H74" i="4" s="1"/>
  <c r="E7" i="4"/>
  <c r="I7" i="4" s="1"/>
  <c r="D7" i="4"/>
  <c r="H7" i="4" s="1"/>
  <c r="E53" i="4"/>
  <c r="I53" i="4" s="1"/>
  <c r="D53" i="4"/>
  <c r="H53" i="4" s="1"/>
  <c r="D18" i="4"/>
  <c r="H18" i="4" s="1"/>
  <c r="E18" i="4"/>
  <c r="I18" i="4" s="1"/>
  <c r="E28" i="4"/>
  <c r="I28" i="4" s="1"/>
  <c r="D28" i="4"/>
  <c r="H28" i="4" s="1"/>
  <c r="E94" i="4"/>
  <c r="I94" i="4" s="1"/>
  <c r="D94" i="4"/>
  <c r="H94" i="4" s="1"/>
  <c r="E56" i="4"/>
  <c r="I56" i="4" s="1"/>
  <c r="D56" i="4"/>
  <c r="H56" i="4" s="1"/>
  <c r="D26" i="4"/>
  <c r="H26" i="4" s="1"/>
  <c r="E26" i="4"/>
  <c r="I26" i="4" s="1"/>
  <c r="D89" i="4"/>
  <c r="H89" i="4" s="1"/>
  <c r="E89" i="4"/>
  <c r="I89" i="4" s="1"/>
  <c r="E58" i="4"/>
  <c r="I58" i="4" s="1"/>
  <c r="D58" i="4"/>
  <c r="H58" i="4" s="1"/>
  <c r="E27" i="4"/>
  <c r="I27" i="4" s="1"/>
  <c r="D27" i="4"/>
  <c r="H27" i="4" s="1"/>
  <c r="E84" i="4"/>
  <c r="I84" i="4" s="1"/>
  <c r="D84" i="4"/>
  <c r="H84" i="4" s="1"/>
  <c r="J16" i="4" l="1"/>
  <c r="J37" i="4"/>
  <c r="J33" i="4"/>
  <c r="J57" i="4"/>
  <c r="J28" i="4"/>
  <c r="J74" i="4"/>
  <c r="J50" i="4"/>
  <c r="J86" i="4"/>
  <c r="J14" i="4"/>
  <c r="J46" i="4"/>
  <c r="J6" i="4"/>
  <c r="J100" i="4"/>
  <c r="J90" i="4"/>
  <c r="J71" i="4"/>
  <c r="J44" i="4"/>
  <c r="J54" i="4"/>
  <c r="J30" i="4"/>
  <c r="J64" i="4"/>
  <c r="J29" i="4"/>
  <c r="J51" i="4"/>
  <c r="J84" i="4"/>
  <c r="J61" i="4"/>
  <c r="J25" i="4"/>
  <c r="J68" i="4"/>
  <c r="J47" i="4"/>
  <c r="J60" i="4"/>
  <c r="J96" i="4"/>
  <c r="J55" i="4"/>
  <c r="J21" i="4"/>
  <c r="J62" i="4"/>
  <c r="J82" i="4"/>
  <c r="J66" i="4"/>
  <c r="J102" i="4"/>
  <c r="J36" i="4"/>
  <c r="J40" i="4"/>
  <c r="J72" i="4"/>
  <c r="J3" i="4"/>
  <c r="J34" i="4"/>
  <c r="J80" i="4"/>
  <c r="J92" i="4"/>
  <c r="J89" i="4"/>
  <c r="J41" i="4"/>
  <c r="J73" i="4"/>
  <c r="J65" i="4"/>
  <c r="J59" i="4"/>
  <c r="J26" i="4"/>
  <c r="J18" i="4"/>
  <c r="J81" i="4"/>
  <c r="J9" i="4"/>
  <c r="J5" i="4"/>
  <c r="J27" i="4"/>
  <c r="J56" i="4"/>
  <c r="J53" i="4"/>
  <c r="J76" i="4"/>
  <c r="J12" i="4"/>
  <c r="J87" i="4"/>
  <c r="J4" i="4"/>
  <c r="J98" i="4"/>
  <c r="J79" i="4"/>
  <c r="J17" i="4"/>
  <c r="J35" i="4"/>
  <c r="J58" i="4"/>
  <c r="J94" i="4"/>
  <c r="J7" i="4"/>
  <c r="J19" i="4"/>
  <c r="J95" i="4"/>
  <c r="J42" i="4"/>
  <c r="J78" i="4"/>
  <c r="J10" i="4"/>
  <c r="J32" i="4"/>
  <c r="J70" i="4"/>
  <c r="J63" i="4"/>
  <c r="J52" i="4"/>
  <c r="J88" i="4"/>
  <c r="J49" i="4"/>
  <c r="J97" i="4"/>
  <c r="J38" i="4"/>
  <c r="J11" i="4"/>
  <c r="N15" i="4" l="1"/>
</calcChain>
</file>

<file path=xl/sharedStrings.xml><?xml version="1.0" encoding="utf-8"?>
<sst xmlns="http://schemas.openxmlformats.org/spreadsheetml/2006/main" count="254" uniqueCount="214">
  <si>
    <t>Problem</t>
  </si>
  <si>
    <t>Name</t>
  </si>
  <si>
    <t>Data Simulation for Airplane Reservations</t>
  </si>
  <si>
    <t>Trial</t>
  </si>
  <si>
    <t>Reservations</t>
  </si>
  <si>
    <t>Show up</t>
  </si>
  <si>
    <t>Seated</t>
  </si>
  <si>
    <t>Bumped</t>
  </si>
  <si>
    <t>Revenue</t>
  </si>
  <si>
    <t>Fixed Cost</t>
  </si>
  <si>
    <t>Variable Cost</t>
  </si>
  <si>
    <t>Bumped Cost</t>
  </si>
  <si>
    <t>Profit</t>
  </si>
  <si>
    <t>Input variables</t>
  </si>
  <si>
    <t>Item</t>
  </si>
  <si>
    <t>Amount</t>
  </si>
  <si>
    <t>Ticket cost</t>
  </si>
  <si>
    <t>Cost per passenger</t>
  </si>
  <si>
    <t>Empty plane cost</t>
  </si>
  <si>
    <t>Overbooking refund per passenger</t>
  </si>
  <si>
    <t>Constraints</t>
  </si>
  <si>
    <t>Seats available</t>
  </si>
  <si>
    <t>Average show</t>
  </si>
  <si>
    <t>Trial Reservations</t>
  </si>
  <si>
    <t>Average Profit</t>
  </si>
  <si>
    <t>Maximize</t>
  </si>
  <si>
    <t>Manual Sensitivity Analysis</t>
  </si>
  <si>
    <t>Meta trial</t>
  </si>
  <si>
    <t>Average</t>
  </si>
  <si>
    <t>MAX - MIN</t>
  </si>
  <si>
    <t>Percentage</t>
  </si>
  <si>
    <t>Starting point</t>
  </si>
  <si>
    <t>Costs</t>
  </si>
  <si>
    <t>Maintenance cost per warehouse</t>
  </si>
  <si>
    <t>Construction cost warehouse</t>
  </si>
  <si>
    <t>Shipping cost order / mile</t>
  </si>
  <si>
    <t>Demand</t>
  </si>
  <si>
    <t>Orders per year</t>
  </si>
  <si>
    <t>Area served (A)</t>
  </si>
  <si>
    <t>Warehouses (n)</t>
  </si>
  <si>
    <t>Average distance between customers</t>
  </si>
  <si>
    <t>Shipping cost per order</t>
  </si>
  <si>
    <t>Shipping cost total</t>
  </si>
  <si>
    <t>Warehouses constructed</t>
  </si>
  <si>
    <t>Warehouse construction cost</t>
  </si>
  <si>
    <t>Warehouse maintenance cost</t>
  </si>
  <si>
    <t>Years</t>
  </si>
  <si>
    <t>This is a variable we can input manually, ie we do not need it as another factor for solver - just put it in manually at different years and see how solver changes</t>
  </si>
  <si>
    <t>Minimize</t>
  </si>
  <si>
    <t>Outcome</t>
  </si>
  <si>
    <t>NA</t>
  </si>
  <si>
    <t>Area_served__A</t>
  </si>
  <si>
    <t>=Sheet1!$C$9</t>
  </si>
  <si>
    <t>Average_distance_between_customers</t>
  </si>
  <si>
    <t>=Sheet1!$C$13</t>
  </si>
  <si>
    <t>Construction_cost_warehouse</t>
  </si>
  <si>
    <t>=Sheet1!$C$3</t>
  </si>
  <si>
    <t>=Sheet1!$C$21</t>
  </si>
  <si>
    <t>Maintenance_cost_per_warehouse</t>
  </si>
  <si>
    <t>=Sheet1!$C$2</t>
  </si>
  <si>
    <t>Orders_per_year</t>
  </si>
  <si>
    <t>=Sheet1!$C$7</t>
  </si>
  <si>
    <t>Shipping_cost_order___mile</t>
  </si>
  <si>
    <t>=Sheet1!$C$4</t>
  </si>
  <si>
    <t>Warehouse_construction_cost</t>
  </si>
  <si>
    <t>=Sheet1!$C$17</t>
  </si>
  <si>
    <t>Warehouse_maintenance_cost</t>
  </si>
  <si>
    <t>=Sheet1!$C$18</t>
  </si>
  <si>
    <t>Warehouses__n</t>
  </si>
  <si>
    <t>=Sheet1!$C$11</t>
  </si>
  <si>
    <t>=Sheet1!$C$19</t>
  </si>
  <si>
    <t>Decision Timeline</t>
  </si>
  <si>
    <t>Event 1 - Legislation</t>
  </si>
  <si>
    <t xml:space="preserve">Event 2 - EPA Ruling </t>
  </si>
  <si>
    <t>Consultant Accuracy</t>
  </si>
  <si>
    <t>Requires Event 1 to pass with element regulated</t>
  </si>
  <si>
    <t>Consultant Cost</t>
  </si>
  <si>
    <t>Passes with element regulated</t>
  </si>
  <si>
    <t>Event 2 occurs</t>
  </si>
  <si>
    <t xml:space="preserve"> &gt;&gt;&gt;&gt;&gt;</t>
  </si>
  <si>
    <t>Product violates standards</t>
  </si>
  <si>
    <t>Product recall</t>
  </si>
  <si>
    <t>True positive rate (correct violation)</t>
  </si>
  <si>
    <t>Passes without element regulated</t>
  </si>
  <si>
    <t>No problem</t>
  </si>
  <si>
    <t>Product does not violate standards</t>
  </si>
  <si>
    <t>False positive rate (wrong violation)</t>
  </si>
  <si>
    <t>Does not pass</t>
  </si>
  <si>
    <t>Monthly Profits in Millions</t>
  </si>
  <si>
    <t>High level decision analysis</t>
  </si>
  <si>
    <t>Months 1 - 3</t>
  </si>
  <si>
    <t>Months 4 - 6</t>
  </si>
  <si>
    <t>Beyond</t>
  </si>
  <si>
    <t>Strategy</t>
  </si>
  <si>
    <t>Decision</t>
  </si>
  <si>
    <t>Analysis</t>
  </si>
  <si>
    <t>Current Product</t>
  </si>
  <si>
    <t>Launch User Experience immediately</t>
  </si>
  <si>
    <t>Immediate profits of $225 million, risk recall if element regulated and EPA rules against it</t>
  </si>
  <si>
    <t>Cosmetic</t>
  </si>
  <si>
    <t>Launch Cosmetic immediately</t>
  </si>
  <si>
    <t>Immediate profits but less than User Experience, no risk of recall</t>
  </si>
  <si>
    <t>User Experience</t>
  </si>
  <si>
    <t>Wait for first legislation</t>
  </si>
  <si>
    <t>If first legislation is regulated, decision to hire consultant. If legislation does not pass, launch User Experience without consultant, which will be higher profits and no risk. Both cases miss out on 2 months of profits.</t>
  </si>
  <si>
    <t>Wait for EPA ruling</t>
  </si>
  <si>
    <t>Keep selling current product, no risk.</t>
  </si>
  <si>
    <t>Costs and Constraints</t>
  </si>
  <si>
    <t>Cost / Constraint</t>
  </si>
  <si>
    <t>Consultant Fee</t>
  </si>
  <si>
    <t>Millions</t>
  </si>
  <si>
    <t>Consultant information</t>
  </si>
  <si>
    <t>Recall Cost multiplier</t>
  </si>
  <si>
    <t>150% profits made</t>
  </si>
  <si>
    <t>Time Constraints</t>
  </si>
  <si>
    <t>Time in months</t>
  </si>
  <si>
    <t>Decision deadline</t>
  </si>
  <si>
    <t>4 months</t>
  </si>
  <si>
    <t>Legislative vote</t>
  </si>
  <si>
    <t>2 months</t>
  </si>
  <si>
    <t>EPA Ruling</t>
  </si>
  <si>
    <t>10 months after vote - 12 months total</t>
  </si>
  <si>
    <t>Consultant analysis time</t>
  </si>
  <si>
    <t>1 month</t>
  </si>
  <si>
    <t>Planning horizon</t>
  </si>
  <si>
    <t>18 months</t>
  </si>
  <si>
    <t>Decisions</t>
  </si>
  <si>
    <t>Strategy Description</t>
  </si>
  <si>
    <t xml:space="preserve">Decision Point </t>
  </si>
  <si>
    <t>Probability</t>
  </si>
  <si>
    <t>Months</t>
  </si>
  <si>
    <t>Profit / Month</t>
  </si>
  <si>
    <t>Total Profit</t>
  </si>
  <si>
    <t>Expected Value</t>
  </si>
  <si>
    <t>1A (Recall)</t>
  </si>
  <si>
    <t>Leg passes w/element → EPA violation → RECALL</t>
  </si>
  <si>
    <t>Month 0</t>
  </si>
  <si>
    <t>0-12</t>
  </si>
  <si>
    <t>1B</t>
  </si>
  <si>
    <t>Leg passes w/element → EPA NO violation</t>
  </si>
  <si>
    <t>1C</t>
  </si>
  <si>
    <t>Leg passes w/o element OR doesn't pass</t>
  </si>
  <si>
    <t>2A</t>
  </si>
  <si>
    <t>Full 18 months, no risk</t>
  </si>
  <si>
    <t>Wait for legislation then decide</t>
  </si>
  <si>
    <t>3A</t>
  </si>
  <si>
    <t>Legislation passes w/element → Launch Cosmetic (safe)</t>
  </si>
  <si>
    <t>Month 2</t>
  </si>
  <si>
    <t>0-2, then 2-18</t>
  </si>
  <si>
    <t>3B</t>
  </si>
  <si>
    <t>Legislation passes w/o element → Launch User Experience</t>
  </si>
  <si>
    <t>3C</t>
  </si>
  <si>
    <t>Legislation doesn't pass → Launch User Experience</t>
  </si>
  <si>
    <t>4A</t>
  </si>
  <si>
    <t>Leg passes w/element → EPA violation → Launch Cosmetic</t>
  </si>
  <si>
    <t>Month 12</t>
  </si>
  <si>
    <t>0-12 then 12-18</t>
  </si>
  <si>
    <t>4B</t>
  </si>
  <si>
    <t>Leg passes w/element → EPA NO violation → Launch UX</t>
  </si>
  <si>
    <t>0-18</t>
  </si>
  <si>
    <t>Consultant Strategy</t>
  </si>
  <si>
    <t>What we need to find</t>
  </si>
  <si>
    <t>Perfect Info for comparison</t>
  </si>
  <si>
    <t>Description</t>
  </si>
  <si>
    <t>Expected value</t>
  </si>
  <si>
    <t>Further description</t>
  </si>
  <si>
    <t>Expected value of Perfect Information</t>
  </si>
  <si>
    <t>If you knew EPA would rule violation, you'd launch Cosmetic. If you knew they would rule no violation, you'd launch User Experience.</t>
  </si>
  <si>
    <t>This is basically if you knew everything perfectly - what is the expected value of Launching Cosmetic with that percentage of it happening, added to the expected value of Launching User Experience without the risk, multiplied by the chance of that happening.</t>
  </si>
  <si>
    <t>Expected value of Consultant Information</t>
  </si>
  <si>
    <t xml:space="preserve">This will take that expected value and multiply it  </t>
  </si>
  <si>
    <t>Bayes Theorem Calculations</t>
  </si>
  <si>
    <t>Prior possibilities - before consultant</t>
  </si>
  <si>
    <t>P(Violation | Leg passes w/element)</t>
  </si>
  <si>
    <t>P(No Violation | Leg passes w/element)</t>
  </si>
  <si>
    <t>Consultant Test Characteristics</t>
  </si>
  <si>
    <t>P(Says "Violation" | Actually Violation)</t>
  </si>
  <si>
    <t>P(Says "No Violation" | Actually Violation)</t>
  </si>
  <si>
    <t>P(Says "Violation" | Actually No Violation)</t>
  </si>
  <si>
    <t>P(Says "No Violation" | Actually No Violation)</t>
  </si>
  <si>
    <t>Joint Probabilities</t>
  </si>
  <si>
    <t>P(Says "Violation")</t>
  </si>
  <si>
    <t xml:space="preserve">P(Says "No Violation")  </t>
  </si>
  <si>
    <t>Posterior Probabilities (using Bayes' Theorem)</t>
  </si>
  <si>
    <t>P(Violation | Says "Violation")</t>
  </si>
  <si>
    <t>P(No Violation | Says "Violation")</t>
  </si>
  <si>
    <t>P(Violation | Says "No Violation")</t>
  </si>
  <si>
    <t>P(No Violation | Says "No Violation")</t>
  </si>
  <si>
    <t>Strategy Analysis WITH Consultant</t>
  </si>
  <si>
    <t>Scenario</t>
  </si>
  <si>
    <t>3-Consult-A</t>
  </si>
  <si>
    <t>Consultant says "Violation" → Launch Cosmetic</t>
  </si>
  <si>
    <t>Month 3</t>
  </si>
  <si>
    <t>3-Consult-B</t>
  </si>
  <si>
    <t>Consultant says "No Violation" → Launch UX</t>
  </si>
  <si>
    <t>3-Consult-B1</t>
  </si>
  <si>
    <t>Actually violates → RECALL</t>
  </si>
  <si>
    <t>3-Consult-B2</t>
  </si>
  <si>
    <t>Actually no violation → SUCCESS</t>
  </si>
  <si>
    <t>Expected Value WITH Consultant (given leg passes w/element)</t>
  </si>
  <si>
    <t>Expected Value WITHOUT Consultant (Strategy 3A from before)</t>
  </si>
  <si>
    <t>EVSI (Expected Value of Sample Information)</t>
  </si>
  <si>
    <t>EVPI (Expected Value of Perfect Information)</t>
  </si>
  <si>
    <t>Consultant Asking Price</t>
  </si>
  <si>
    <t>Expected value of consultant - consultant price</t>
  </si>
  <si>
    <t>&gt;=</t>
  </si>
  <si>
    <t xml:space="preserve">This is a proof of concept about Jonathan Maas's Excel abilities exported to PDF. It is from a file I made during my graduate school work, and shows advanced analysis and data simulation. </t>
  </si>
  <si>
    <t>Jonathan Maas | 310-500-5841 | jonmaas1978@gmail.com | www.theprototyper.design</t>
  </si>
  <si>
    <t>A non-linear analysis using Excel Solver.</t>
  </si>
  <si>
    <t>Solver</t>
  </si>
  <si>
    <t>Complex process issue</t>
  </si>
  <si>
    <t>This was a complex model I made and then resolved with Solver.</t>
  </si>
  <si>
    <t>Data Simulation</t>
  </si>
  <si>
    <t>This is a question that relied on an Excel Data Simulation and a Manual Sensitivity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</si>
</sst>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10" x14ac:knownFonts="1">
    <font>
      <sz val="11"/>
      <color theme="1"/>
      <name val="Calibri"/>
      <family val="2"/>
      <scheme val="minor"/>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1"/>
      <color rgb="FF3F3F76"/>
      <name val="Calibri"/>
      <family val="2"/>
      <scheme val="minor"/>
    </font>
    <font>
      <b/>
      <sz val="11"/>
      <color theme="0"/>
      <name val="Calibri"/>
      <family val="2"/>
      <scheme val="minor"/>
    </font>
    <font>
      <sz val="11"/>
      <color theme="1" tint="4.9989318521683403E-2"/>
      <name val="Calibri"/>
      <family val="2"/>
      <scheme val="minor"/>
    </font>
    <font>
      <sz val="11"/>
      <color theme="0" tint="-4.9989318521683403E-2"/>
      <name val="Calibri"/>
      <family val="2"/>
      <scheme val="minor"/>
    </font>
    <font>
      <sz val="10"/>
      <name val="Arial"/>
      <family val="2"/>
    </font>
  </fonts>
  <fills count="19">
    <fill>
      <patternFill patternType="none"/>
    </fill>
    <fill>
      <patternFill patternType="gray125"/>
    </fill>
    <fill>
      <patternFill patternType="solid">
        <fgColor rgb="FFC6EFCE"/>
      </patternFill>
    </fill>
    <fill>
      <patternFill patternType="solid">
        <fgColor theme="4" tint="0.59999389629810485"/>
        <bgColor indexed="65"/>
      </patternFill>
    </fill>
    <fill>
      <patternFill patternType="solid">
        <fgColor theme="3" tint="0.89999084444715716"/>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C99"/>
      </patternFill>
    </fill>
    <fill>
      <patternFill patternType="solid">
        <fgColor rgb="FFA5A5A5"/>
      </patternFill>
    </fill>
    <fill>
      <patternFill patternType="solid">
        <fgColor theme="3" tint="0.74999237037263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s>
  <borders count="1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s>
  <cellStyleXfs count="7">
    <xf numFmtId="0" fontId="0" fillId="0" borderId="0"/>
    <xf numFmtId="44"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5" fillId="9" borderId="9" applyNumberFormat="0" applyAlignment="0" applyProtection="0"/>
    <xf numFmtId="0" fontId="6" fillId="10" borderId="10" applyNumberFormat="0" applyAlignment="0" applyProtection="0"/>
    <xf numFmtId="0" fontId="9" fillId="0" borderId="0"/>
  </cellStyleXfs>
  <cellXfs count="73">
    <xf numFmtId="0" fontId="0" fillId="0" borderId="0" xfId="0"/>
    <xf numFmtId="0" fontId="0" fillId="0" borderId="1" xfId="0" applyBorder="1"/>
    <xf numFmtId="0" fontId="0" fillId="0" borderId="2" xfId="0" applyBorder="1"/>
    <xf numFmtId="0" fontId="0" fillId="0" borderId="3" xfId="0" applyBorder="1"/>
    <xf numFmtId="0" fontId="0" fillId="0" borderId="4" xfId="0" applyBorder="1" applyAlignment="1">
      <alignment vertical="top"/>
    </xf>
    <xf numFmtId="0" fontId="0" fillId="0" borderId="5" xfId="0" applyBorder="1" applyAlignment="1">
      <alignment vertical="top"/>
    </xf>
    <xf numFmtId="0" fontId="2" fillId="2" borderId="6" xfId="2" applyBorder="1" applyAlignment="1">
      <alignment vertical="top" wrapText="1"/>
    </xf>
    <xf numFmtId="0" fontId="0" fillId="0" borderId="5" xfId="0" applyBorder="1"/>
    <xf numFmtId="164" fontId="0" fillId="0" borderId="5" xfId="1" applyNumberFormat="1" applyFont="1" applyBorder="1"/>
    <xf numFmtId="165" fontId="0" fillId="0" borderId="5" xfId="1" applyNumberFormat="1" applyFont="1" applyBorder="1"/>
    <xf numFmtId="164" fontId="1" fillId="3" borderId="5" xfId="1" applyNumberFormat="1" applyFill="1" applyBorder="1"/>
    <xf numFmtId="0" fontId="1" fillId="3" borderId="5" xfId="3" applyBorder="1"/>
    <xf numFmtId="9" fontId="1" fillId="3" borderId="5" xfId="3" applyNumberFormat="1" applyBorder="1"/>
    <xf numFmtId="44" fontId="2" fillId="2" borderId="5" xfId="2" applyNumberFormat="1" applyBorder="1"/>
    <xf numFmtId="0" fontId="3" fillId="0" borderId="0" xfId="0" applyFont="1"/>
    <xf numFmtId="44" fontId="0" fillId="0" borderId="5" xfId="1" applyFont="1" applyBorder="1"/>
    <xf numFmtId="0" fontId="0" fillId="7" borderId="5" xfId="0" applyFill="1" applyBorder="1"/>
    <xf numFmtId="44" fontId="0" fillId="7" borderId="5" xfId="1" applyFont="1" applyFill="1" applyBorder="1"/>
    <xf numFmtId="44" fontId="0" fillId="0" borderId="5" xfId="1" applyFont="1" applyFill="1" applyBorder="1"/>
    <xf numFmtId="164" fontId="1" fillId="3" borderId="5" xfId="3" applyNumberFormat="1" applyBorder="1"/>
    <xf numFmtId="44" fontId="1" fillId="3" borderId="5" xfId="3" applyNumberFormat="1" applyBorder="1"/>
    <xf numFmtId="3" fontId="1" fillId="3" borderId="5" xfId="3" applyNumberFormat="1" applyBorder="1"/>
    <xf numFmtId="0" fontId="5" fillId="9" borderId="5" xfId="4" applyBorder="1"/>
    <xf numFmtId="2" fontId="0" fillId="0" borderId="5" xfId="0" applyNumberFormat="1" applyBorder="1"/>
    <xf numFmtId="164" fontId="2" fillId="2" borderId="5" xfId="2" applyNumberFormat="1" applyBorder="1"/>
    <xf numFmtId="0" fontId="3" fillId="0" borderId="5" xfId="0" applyFont="1" applyBorder="1"/>
    <xf numFmtId="3" fontId="0" fillId="0" borderId="5" xfId="0" applyNumberFormat="1" applyBorder="1"/>
    <xf numFmtId="0" fontId="0" fillId="0" borderId="5" xfId="0" applyBorder="1" applyAlignment="1">
      <alignment vertical="top" wrapText="1"/>
    </xf>
    <xf numFmtId="0" fontId="7" fillId="5" borderId="5" xfId="0" applyFont="1" applyFill="1" applyBorder="1"/>
    <xf numFmtId="0" fontId="6" fillId="10" borderId="10" xfId="5" applyAlignment="1">
      <alignment horizontal="center"/>
    </xf>
    <xf numFmtId="0" fontId="6" fillId="10" borderId="10" xfId="5" applyAlignment="1">
      <alignment horizontal="left"/>
    </xf>
    <xf numFmtId="0" fontId="0" fillId="13" borderId="5" xfId="0" applyFill="1" applyBorder="1"/>
    <xf numFmtId="0" fontId="8" fillId="14" borderId="5" xfId="0" applyFont="1" applyFill="1" applyBorder="1"/>
    <xf numFmtId="0" fontId="0" fillId="0" borderId="13" xfId="0" applyBorder="1"/>
    <xf numFmtId="0" fontId="0" fillId="6" borderId="14" xfId="0" applyFill="1" applyBorder="1"/>
    <xf numFmtId="0" fontId="0" fillId="6" borderId="0" xfId="0" applyFill="1"/>
    <xf numFmtId="0" fontId="0" fillId="6" borderId="11" xfId="0" applyFill="1" applyBorder="1"/>
    <xf numFmtId="0" fontId="0" fillId="15" borderId="5" xfId="0" applyFill="1" applyBorder="1"/>
    <xf numFmtId="0" fontId="0" fillId="6" borderId="15" xfId="0" applyFill="1" applyBorder="1"/>
    <xf numFmtId="0" fontId="0" fillId="6" borderId="13" xfId="0" applyFill="1" applyBorder="1"/>
    <xf numFmtId="0" fontId="4" fillId="16" borderId="5" xfId="0" applyFont="1" applyFill="1" applyBorder="1"/>
    <xf numFmtId="0" fontId="0" fillId="0" borderId="5" xfId="0" applyBorder="1" applyAlignment="1">
      <alignment horizontal="right"/>
    </xf>
    <xf numFmtId="0" fontId="2" fillId="2" borderId="5" xfId="2" applyBorder="1"/>
    <xf numFmtId="0" fontId="0" fillId="0" borderId="16" xfId="0" applyBorder="1"/>
    <xf numFmtId="0" fontId="4" fillId="8" borderId="5" xfId="0" applyFont="1" applyFill="1" applyBorder="1"/>
    <xf numFmtId="2" fontId="0" fillId="13" borderId="5" xfId="0" applyNumberFormat="1" applyFill="1" applyBorder="1" applyAlignment="1">
      <alignment horizontal="right"/>
    </xf>
    <xf numFmtId="0" fontId="0" fillId="0" borderId="7" xfId="0" applyBorder="1"/>
    <xf numFmtId="0" fontId="6" fillId="10" borderId="5" xfId="5" applyBorder="1" applyAlignment="1">
      <alignment horizontal="center"/>
    </xf>
    <xf numFmtId="0" fontId="0" fillId="17" borderId="0" xfId="0" applyFill="1" applyAlignment="1">
      <alignment vertical="top" wrapText="1"/>
    </xf>
    <xf numFmtId="0" fontId="0" fillId="18" borderId="0" xfId="0" applyFill="1"/>
    <xf numFmtId="0" fontId="0" fillId="12" borderId="11" xfId="0" applyFill="1" applyBorder="1" applyAlignment="1">
      <alignment horizontal="center"/>
    </xf>
    <xf numFmtId="0" fontId="0" fillId="12" borderId="0" xfId="0" applyFill="1" applyAlignment="1">
      <alignment horizontal="center"/>
    </xf>
    <xf numFmtId="0" fontId="4" fillId="8" borderId="3" xfId="0" applyFont="1" applyFill="1" applyBorder="1" applyAlignment="1">
      <alignment horizontal="center"/>
    </xf>
    <xf numFmtId="0" fontId="4" fillId="8" borderId="8" xfId="0" applyFont="1" applyFill="1" applyBorder="1" applyAlignment="1">
      <alignment horizontal="center"/>
    </xf>
    <xf numFmtId="0" fontId="0" fillId="11" borderId="3" xfId="0" applyFill="1" applyBorder="1" applyAlignment="1">
      <alignment horizontal="center"/>
    </xf>
    <xf numFmtId="0" fontId="0" fillId="11" borderId="8" xfId="0" applyFill="1" applyBorder="1" applyAlignment="1">
      <alignment horizontal="center"/>
    </xf>
    <xf numFmtId="0" fontId="0" fillId="11" borderId="1" xfId="0" applyFill="1" applyBorder="1" applyAlignment="1">
      <alignment horizontal="center"/>
    </xf>
    <xf numFmtId="0" fontId="0" fillId="6" borderId="6" xfId="0" applyFill="1" applyBorder="1" applyAlignment="1">
      <alignment horizontal="center"/>
    </xf>
    <xf numFmtId="0" fontId="0" fillId="6" borderId="12" xfId="0" applyFill="1" applyBorder="1" applyAlignment="1">
      <alignment horizontal="center"/>
    </xf>
    <xf numFmtId="0" fontId="0" fillId="6" borderId="4" xfId="0" applyFill="1" applyBorder="1" applyAlignment="1">
      <alignment horizontal="center"/>
    </xf>
    <xf numFmtId="0" fontId="0" fillId="12" borderId="6" xfId="0" applyFill="1" applyBorder="1" applyAlignment="1">
      <alignment horizontal="center"/>
    </xf>
    <xf numFmtId="0" fontId="0" fillId="12" borderId="4" xfId="0" applyFill="1" applyBorder="1" applyAlignment="1">
      <alignment horizontal="center"/>
    </xf>
    <xf numFmtId="0" fontId="4" fillId="8" borderId="6" xfId="0" applyFont="1" applyFill="1" applyBorder="1" applyAlignment="1">
      <alignment horizontal="center"/>
    </xf>
    <xf numFmtId="0" fontId="4" fillId="8" borderId="12" xfId="0" applyFont="1" applyFill="1" applyBorder="1" applyAlignment="1">
      <alignment horizontal="center"/>
    </xf>
    <xf numFmtId="0" fontId="4" fillId="8" borderId="4" xfId="0" applyFont="1" applyFill="1" applyBorder="1" applyAlignment="1">
      <alignment horizontal="center"/>
    </xf>
    <xf numFmtId="0" fontId="0" fillId="8" borderId="6" xfId="0" applyFill="1" applyBorder="1" applyAlignment="1">
      <alignment horizontal="center"/>
    </xf>
    <xf numFmtId="0" fontId="0" fillId="8" borderId="12" xfId="0" applyFill="1" applyBorder="1" applyAlignment="1">
      <alignment horizontal="center"/>
    </xf>
    <xf numFmtId="0" fontId="0" fillId="8" borderId="4" xfId="0" applyFill="1" applyBorder="1" applyAlignment="1">
      <alignment horizontal="center"/>
    </xf>
    <xf numFmtId="0" fontId="4" fillId="8" borderId="5" xfId="0" applyFont="1" applyFill="1" applyBorder="1" applyAlignment="1">
      <alignment horizontal="center"/>
    </xf>
    <xf numFmtId="0" fontId="0" fillId="8" borderId="6" xfId="0" applyFill="1" applyBorder="1"/>
    <xf numFmtId="0" fontId="0" fillId="8" borderId="12" xfId="0" applyFill="1" applyBorder="1"/>
    <xf numFmtId="0" fontId="0" fillId="8" borderId="4" xfId="0" applyFill="1" applyBorder="1"/>
    <xf numFmtId="0" fontId="4" fillId="4" borderId="8" xfId="0" applyFont="1" applyFill="1" applyBorder="1"/>
  </cellXfs>
  <cellStyles count="7">
    <cellStyle name="40% - Accent1" xfId="3" builtinId="31"/>
    <cellStyle name="Check Cell" xfId="5" builtinId="23"/>
    <cellStyle name="Currency" xfId="1" builtinId="4"/>
    <cellStyle name="Good" xfId="2" builtinId="26"/>
    <cellStyle name="Input" xfId="4" builtinId="20"/>
    <cellStyle name="Normal" xfId="0" builtinId="0"/>
    <cellStyle name="Normal 2" xfId="6" xr:uid="{9278AA69-FC38-43AB-9A85-B21A313EEDF0}"/>
  </cellStyles>
  <dxfs count="7">
    <dxf>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487680</xdr:colOff>
      <xdr:row>0</xdr:row>
      <xdr:rowOff>0</xdr:rowOff>
    </xdr:from>
    <xdr:to>
      <xdr:col>19</xdr:col>
      <xdr:colOff>426720</xdr:colOff>
      <xdr:row>34</xdr:row>
      <xdr:rowOff>91440</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A00C2F28-29F6-4F37-BFFA-DB1A9793BC3B}"/>
                </a:ext>
              </a:extLst>
            </xdr:cNvPr>
            <xdr:cNvSpPr txBox="1"/>
          </xdr:nvSpPr>
          <xdr:spPr>
            <a:xfrm>
              <a:off x="8084820" y="0"/>
              <a:ext cx="5425440" cy="63093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Warehouse Location in a Geographical Area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company Nile Online Shopping, Inc. must service customers lying in an area of </a:t>
              </a:r>
              <a:r>
                <a:rPr lang="en-US" sz="1100" i="1">
                  <a:solidFill>
                    <a:schemeClr val="dk1"/>
                  </a:solidFill>
                  <a:effectLst/>
                  <a:latin typeface="+mn-lt"/>
                  <a:ea typeface="+mn-ea"/>
                  <a:cs typeface="+mn-cs"/>
                </a:rPr>
                <a:t>A</a:t>
              </a:r>
              <a:r>
                <a:rPr lang="en-US" sz="1100">
                  <a:solidFill>
                    <a:schemeClr val="dk1"/>
                  </a:solidFill>
                  <a:effectLst/>
                  <a:latin typeface="+mn-lt"/>
                  <a:ea typeface="+mn-ea"/>
                  <a:cs typeface="+mn-cs"/>
                </a:rPr>
                <a:t> square miles with </a:t>
              </a:r>
              <a:r>
                <a:rPr lang="en-US" sz="1100" i="1">
                  <a:solidFill>
                    <a:schemeClr val="dk1"/>
                  </a:solidFill>
                  <a:effectLst/>
                  <a:latin typeface="+mn-lt"/>
                  <a:ea typeface="+mn-ea"/>
                  <a:cs typeface="+mn-cs"/>
                </a:rPr>
                <a:t>n</a:t>
              </a:r>
              <a:r>
                <a:rPr lang="en-US" sz="1100">
                  <a:solidFill>
                    <a:schemeClr val="dk1"/>
                  </a:solidFill>
                  <a:effectLst/>
                  <a:latin typeface="+mn-lt"/>
                  <a:ea typeface="+mn-ea"/>
                  <a:cs typeface="+mn-cs"/>
                </a:rPr>
                <a:t> warehouses. Research shows that when the warehouse(s) are located properly, the average distance between a warehouse and a customer is </a:t>
              </a:r>
              <a14:m>
                <m:oMath xmlns:m="http://schemas.openxmlformats.org/officeDocument/2006/math">
                  <m:rad>
                    <m:radPr>
                      <m:degHide m:val="on"/>
                      <m:ctrlPr>
                        <a:rPr lang="en-US" sz="1100" i="1">
                          <a:solidFill>
                            <a:schemeClr val="dk1"/>
                          </a:solidFill>
                          <a:effectLst/>
                          <a:latin typeface="Cambria Math" panose="02040503050406030204" pitchFamily="18" charset="0"/>
                          <a:ea typeface="+mn-ea"/>
                          <a:cs typeface="+mn-cs"/>
                        </a:rPr>
                      </m:ctrlPr>
                    </m:radPr>
                    <m:deg/>
                    <m:e>
                      <m:f>
                        <m:fPr>
                          <m:ctrlPr>
                            <a:rPr lang="en-US" sz="1100" i="1">
                              <a:solidFill>
                                <a:schemeClr val="dk1"/>
                              </a:solidFill>
                              <a:effectLst/>
                              <a:latin typeface="Cambria Math" panose="02040503050406030204" pitchFamily="18" charset="0"/>
                              <a:ea typeface="+mn-ea"/>
                              <a:cs typeface="+mn-cs"/>
                            </a:rPr>
                          </m:ctrlPr>
                        </m:fPr>
                        <m:num>
                          <m:r>
                            <a:rPr lang="en-US" sz="1100" i="1">
                              <a:solidFill>
                                <a:schemeClr val="dk1"/>
                              </a:solidFill>
                              <a:effectLst/>
                              <a:latin typeface="Cambria Math" panose="02040503050406030204" pitchFamily="18" charset="0"/>
                              <a:ea typeface="+mn-ea"/>
                              <a:cs typeface="+mn-cs"/>
                            </a:rPr>
                            <m:t>𝐴</m:t>
                          </m:r>
                        </m:num>
                        <m:den>
                          <m:r>
                            <a:rPr lang="en-US" sz="1100" i="1">
                              <a:solidFill>
                                <a:schemeClr val="dk1"/>
                              </a:solidFill>
                              <a:effectLst/>
                              <a:latin typeface="Cambria Math" panose="02040503050406030204" pitchFamily="18" charset="0"/>
                              <a:ea typeface="+mn-ea"/>
                              <a:cs typeface="+mn-cs"/>
                            </a:rPr>
                            <m:t>𝑛</m:t>
                          </m:r>
                        </m:den>
                      </m:f>
                    </m:e>
                  </m:rad>
                </m:oMath>
              </a14:m>
              <a:r>
                <a:rPr lang="en-US" sz="1100">
                  <a:solidFill>
                    <a:schemeClr val="dk1"/>
                  </a:solidFill>
                  <a:effectLst/>
                  <a:latin typeface="+mn-lt"/>
                  <a:ea typeface="+mn-ea"/>
                  <a:cs typeface="+mn-cs"/>
                </a:rPr>
                <a:t>.  Assume that it costs Nile, Inc. $165,000 per year to maintain a warehouse.  Also, for accounting purposes, assume that the upfront construction cost of a warehouse can be spread over multiple years.  Assume that the resulting cost per year (due to construction) is $750,000. The company receives and fills demand for 8,325,000 orders per year, and the shipping cost per order is $2.02 per mile.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If the company serves an area of 31,800 square miles, how many warehouses should it have?</a:t>
              </a:r>
            </a:p>
            <a:p>
              <a:pPr lvl="0"/>
              <a:r>
                <a:rPr lang="en-US" sz="1100">
                  <a:solidFill>
                    <a:schemeClr val="dk1"/>
                  </a:solidFill>
                  <a:effectLst/>
                  <a:latin typeface="+mn-lt"/>
                  <a:ea typeface="+mn-ea"/>
                  <a:cs typeface="+mn-cs"/>
                </a:rPr>
                <a:t>Which Solver method did you use for this problem?  Why was that the appropriate choice?  Can you “prove” that it’s the correct method to use?</a:t>
              </a:r>
            </a:p>
            <a:p>
              <a:pPr lvl="0"/>
              <a:r>
                <a:rPr lang="en-US" sz="1100" b="1">
                  <a:solidFill>
                    <a:schemeClr val="dk1"/>
                  </a:solidFill>
                  <a:effectLst/>
                  <a:latin typeface="+mn-lt"/>
                  <a:ea typeface="+mn-ea"/>
                  <a:cs typeface="+mn-cs"/>
                </a:rPr>
                <a:t>I found that the answer was</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 rounding up, 139 Warehouses for 381,540,874. Solver with </a:t>
              </a:r>
              <a:r>
                <a:rPr lang="en-US" sz="1100" b="1" baseline="0">
                  <a:solidFill>
                    <a:schemeClr val="dk1"/>
                  </a:solidFill>
                  <a:effectLst/>
                  <a:latin typeface="+mn-lt"/>
                  <a:ea typeface="+mn-ea"/>
                  <a:cs typeface="+mn-cs"/>
                </a:rPr>
                <a:t> GRG Linear gives a fractional warehouse, but we can not really do fractional warehouses so I manually rounded it up for this value.</a:t>
              </a:r>
              <a:br>
                <a:rPr lang="en-US" sz="1100" b="1" baseline="0">
                  <a:solidFill>
                    <a:schemeClr val="dk1"/>
                  </a:solidFill>
                  <a:effectLst/>
                  <a:latin typeface="+mn-lt"/>
                  <a:ea typeface="+mn-ea"/>
                  <a:cs typeface="+mn-cs"/>
                </a:rPr>
              </a:br>
              <a:br>
                <a:rPr lang="en-US" sz="1100" b="1" baseline="0">
                  <a:solidFill>
                    <a:schemeClr val="dk1"/>
                  </a:solidFill>
                  <a:effectLst/>
                  <a:latin typeface="+mn-lt"/>
                  <a:ea typeface="+mn-ea"/>
                  <a:cs typeface="+mn-cs"/>
                </a:rPr>
              </a:br>
              <a:r>
                <a:rPr lang="en-US" sz="1100" b="1" baseline="0">
                  <a:solidFill>
                    <a:schemeClr val="dk1"/>
                  </a:solidFill>
                  <a:effectLst/>
                  <a:latin typeface="+mn-lt"/>
                  <a:ea typeface="+mn-ea"/>
                  <a:cs typeface="+mn-cs"/>
                </a:rPr>
                <a:t>I used GRG Linear, and this is the best method. Simplex LP has an issue with it going up and down, and Evolutionary needs bounds. GRG Linear, provided you make the starting value 1 and not too high, arrives at consistent values. </a:t>
              </a:r>
              <a:br>
                <a:rPr lang="en-US" sz="1100" b="1" baseline="0">
                  <a:solidFill>
                    <a:schemeClr val="dk1"/>
                  </a:solidFill>
                  <a:effectLst/>
                  <a:latin typeface="+mn-lt"/>
                  <a:ea typeface="+mn-ea"/>
                  <a:cs typeface="+mn-cs"/>
                </a:rPr>
              </a:br>
              <a:br>
                <a:rPr lang="en-US" sz="1100" b="1" baseline="0">
                  <a:solidFill>
                    <a:schemeClr val="dk1"/>
                  </a:solidFill>
                  <a:effectLst/>
                  <a:latin typeface="+mn-lt"/>
                  <a:ea typeface="+mn-ea"/>
                  <a:cs typeface="+mn-cs"/>
                </a:rPr>
              </a:br>
              <a:r>
                <a:rPr lang="en-US" sz="1100" b="1" baseline="0">
                  <a:solidFill>
                    <a:schemeClr val="dk1"/>
                  </a:solidFill>
                  <a:effectLst/>
                  <a:latin typeface="+mn-lt"/>
                  <a:ea typeface="+mn-ea"/>
                  <a:cs typeface="+mn-cs"/>
                </a:rPr>
                <a:t>Yes, I can prove this is the correct method as evidenced by the other two showing an error, and with GRG Linear by showing the Starting point and Outcome matrix below - it gets in trouble when close to 0, but many starting points end up at the same value.</a:t>
              </a:r>
            </a:p>
            <a:p>
              <a:pPr lvl="0"/>
              <a:endParaRPr lang="en-US" sz="1100" b="1"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Evolutionary did give the same answer if you set up bounds of &gt;=1 and &lt;= 300, but it took longer.</a:t>
              </a:r>
              <a:br>
                <a:rPr lang="en-US" sz="1100" baseline="0">
                  <a:solidFill>
                    <a:schemeClr val="dk1"/>
                  </a:solidFill>
                  <a:effectLst/>
                  <a:latin typeface="+mn-lt"/>
                  <a:ea typeface="+mn-ea"/>
                  <a:cs typeface="+mn-cs"/>
                </a:rPr>
              </a:b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Is it ok to leave out the integer constraint for this problem?  In other words, what is it about the structure of this function that influences your answer?</a:t>
              </a:r>
            </a:p>
            <a:p>
              <a:pPr lvl="0"/>
              <a:endParaRPr lang="en-US" sz="1100">
                <a:solidFill>
                  <a:schemeClr val="dk1"/>
                </a:solidFill>
                <a:effectLst/>
                <a:latin typeface="+mn-lt"/>
                <a:ea typeface="+mn-ea"/>
                <a:cs typeface="+mn-cs"/>
              </a:endParaRPr>
            </a:p>
            <a:p>
              <a:r>
                <a:rPr lang="en-US" sz="1100" b="1"/>
                <a:t>It is ok to leave out the integer constraint. GRG</a:t>
              </a:r>
              <a:r>
                <a:rPr lang="en-US" sz="1100" b="1" baseline="0"/>
                <a:t> Nonlinear and Evolutionary throw an error with this, and the ending number was so close that rounding up did not make a difference.</a:t>
              </a:r>
              <a:endParaRPr lang="en-US" sz="1100" b="1"/>
            </a:p>
          </xdr:txBody>
        </xdr:sp>
      </mc:Choice>
      <mc:Fallback xmlns="">
        <xdr:sp macro="" textlink="">
          <xdr:nvSpPr>
            <xdr:cNvPr id="2" name="TextBox 1">
              <a:extLst>
                <a:ext uri="{FF2B5EF4-FFF2-40B4-BE49-F238E27FC236}">
                  <a16:creationId xmlns:a16="http://schemas.microsoft.com/office/drawing/2014/main" id="{A00C2F28-29F6-4F37-BFFA-DB1A9793BC3B}"/>
                </a:ext>
              </a:extLst>
            </xdr:cNvPr>
            <xdr:cNvSpPr txBox="1"/>
          </xdr:nvSpPr>
          <xdr:spPr>
            <a:xfrm>
              <a:off x="8084820" y="0"/>
              <a:ext cx="5425440" cy="63093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Warehouse Location in a Geographical Area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company Nile Online Shopping, Inc. must service customers lying in an area of </a:t>
              </a:r>
              <a:r>
                <a:rPr lang="en-US" sz="1100" i="1">
                  <a:solidFill>
                    <a:schemeClr val="dk1"/>
                  </a:solidFill>
                  <a:effectLst/>
                  <a:latin typeface="+mn-lt"/>
                  <a:ea typeface="+mn-ea"/>
                  <a:cs typeface="+mn-cs"/>
                </a:rPr>
                <a:t>A</a:t>
              </a:r>
              <a:r>
                <a:rPr lang="en-US" sz="1100">
                  <a:solidFill>
                    <a:schemeClr val="dk1"/>
                  </a:solidFill>
                  <a:effectLst/>
                  <a:latin typeface="+mn-lt"/>
                  <a:ea typeface="+mn-ea"/>
                  <a:cs typeface="+mn-cs"/>
                </a:rPr>
                <a:t> square miles with </a:t>
              </a:r>
              <a:r>
                <a:rPr lang="en-US" sz="1100" i="1">
                  <a:solidFill>
                    <a:schemeClr val="dk1"/>
                  </a:solidFill>
                  <a:effectLst/>
                  <a:latin typeface="+mn-lt"/>
                  <a:ea typeface="+mn-ea"/>
                  <a:cs typeface="+mn-cs"/>
                </a:rPr>
                <a:t>n</a:t>
              </a:r>
              <a:r>
                <a:rPr lang="en-US" sz="1100">
                  <a:solidFill>
                    <a:schemeClr val="dk1"/>
                  </a:solidFill>
                  <a:effectLst/>
                  <a:latin typeface="+mn-lt"/>
                  <a:ea typeface="+mn-ea"/>
                  <a:cs typeface="+mn-cs"/>
                </a:rPr>
                <a:t> warehouses. Research shows that when the warehouse(s) are located properly, the average distance between a warehouse and a customer is </a:t>
              </a:r>
              <a:r>
                <a:rPr lang="en-US" sz="1100" i="0">
                  <a:solidFill>
                    <a:schemeClr val="dk1"/>
                  </a:solidFill>
                  <a:effectLst/>
                  <a:latin typeface="Cambria Math" panose="02040503050406030204" pitchFamily="18" charset="0"/>
                  <a:ea typeface="+mn-ea"/>
                  <a:cs typeface="+mn-cs"/>
                </a:rPr>
                <a:t>√(𝐴/𝑛)</a:t>
              </a:r>
              <a:r>
                <a:rPr lang="en-US" sz="1100">
                  <a:solidFill>
                    <a:schemeClr val="dk1"/>
                  </a:solidFill>
                  <a:effectLst/>
                  <a:latin typeface="+mn-lt"/>
                  <a:ea typeface="+mn-ea"/>
                  <a:cs typeface="+mn-cs"/>
                </a:rPr>
                <a:t>.  Assume that it costs Nile, Inc. $165,000 per year to maintain a warehouse.  Also, for accounting purposes, assume that the upfront construction cost of a warehouse can be spread over multiple years.  Assume that the resulting cost per year (due to construction) is $750,000. The company receives and fills demand for 8,325,000 orders per year, and the shipping cost per order is $2.02 per mile.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If the company serves an area of 31,800 square miles, how many warehouses should it have?</a:t>
              </a:r>
            </a:p>
            <a:p>
              <a:pPr lvl="0"/>
              <a:r>
                <a:rPr lang="en-US" sz="1100">
                  <a:solidFill>
                    <a:schemeClr val="dk1"/>
                  </a:solidFill>
                  <a:effectLst/>
                  <a:latin typeface="+mn-lt"/>
                  <a:ea typeface="+mn-ea"/>
                  <a:cs typeface="+mn-cs"/>
                </a:rPr>
                <a:t>Which Solver method did you use for this problem?  Why was that the appropriate choice?  Can you “prove” that it’s the correct method to use?</a:t>
              </a:r>
            </a:p>
            <a:p>
              <a:pPr lvl="0"/>
              <a:r>
                <a:rPr lang="en-US" sz="1100" b="1">
                  <a:solidFill>
                    <a:schemeClr val="dk1"/>
                  </a:solidFill>
                  <a:effectLst/>
                  <a:latin typeface="+mn-lt"/>
                  <a:ea typeface="+mn-ea"/>
                  <a:cs typeface="+mn-cs"/>
                </a:rPr>
                <a:t>I found that the answer was</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 rounding up, 139 Warehouses for 381,540,874. Solver with </a:t>
              </a:r>
              <a:r>
                <a:rPr lang="en-US" sz="1100" b="1" baseline="0">
                  <a:solidFill>
                    <a:schemeClr val="dk1"/>
                  </a:solidFill>
                  <a:effectLst/>
                  <a:latin typeface="+mn-lt"/>
                  <a:ea typeface="+mn-ea"/>
                  <a:cs typeface="+mn-cs"/>
                </a:rPr>
                <a:t> GRG Linear gives a fractional warehouse, but we can not really do fractional warehouses so I manually rounded it up for this value.</a:t>
              </a:r>
              <a:br>
                <a:rPr lang="en-US" sz="1100" b="1" baseline="0">
                  <a:solidFill>
                    <a:schemeClr val="dk1"/>
                  </a:solidFill>
                  <a:effectLst/>
                  <a:latin typeface="+mn-lt"/>
                  <a:ea typeface="+mn-ea"/>
                  <a:cs typeface="+mn-cs"/>
                </a:rPr>
              </a:br>
              <a:br>
                <a:rPr lang="en-US" sz="1100" b="1" baseline="0">
                  <a:solidFill>
                    <a:schemeClr val="dk1"/>
                  </a:solidFill>
                  <a:effectLst/>
                  <a:latin typeface="+mn-lt"/>
                  <a:ea typeface="+mn-ea"/>
                  <a:cs typeface="+mn-cs"/>
                </a:rPr>
              </a:br>
              <a:r>
                <a:rPr lang="en-US" sz="1100" b="1" baseline="0">
                  <a:solidFill>
                    <a:schemeClr val="dk1"/>
                  </a:solidFill>
                  <a:effectLst/>
                  <a:latin typeface="+mn-lt"/>
                  <a:ea typeface="+mn-ea"/>
                  <a:cs typeface="+mn-cs"/>
                </a:rPr>
                <a:t>I used GRG Linear, and this is the best method. Simplex LP has an issue with it going up and down, and Evolutionary needs bounds. GRG Linear, provided you make the starting value 1 and not too high, arrives at consistent values. </a:t>
              </a:r>
              <a:br>
                <a:rPr lang="en-US" sz="1100" b="1" baseline="0">
                  <a:solidFill>
                    <a:schemeClr val="dk1"/>
                  </a:solidFill>
                  <a:effectLst/>
                  <a:latin typeface="+mn-lt"/>
                  <a:ea typeface="+mn-ea"/>
                  <a:cs typeface="+mn-cs"/>
                </a:rPr>
              </a:br>
              <a:br>
                <a:rPr lang="en-US" sz="1100" b="1" baseline="0">
                  <a:solidFill>
                    <a:schemeClr val="dk1"/>
                  </a:solidFill>
                  <a:effectLst/>
                  <a:latin typeface="+mn-lt"/>
                  <a:ea typeface="+mn-ea"/>
                  <a:cs typeface="+mn-cs"/>
                </a:rPr>
              </a:br>
              <a:r>
                <a:rPr lang="en-US" sz="1100" b="1" baseline="0">
                  <a:solidFill>
                    <a:schemeClr val="dk1"/>
                  </a:solidFill>
                  <a:effectLst/>
                  <a:latin typeface="+mn-lt"/>
                  <a:ea typeface="+mn-ea"/>
                  <a:cs typeface="+mn-cs"/>
                </a:rPr>
                <a:t>Yes, I can prove this is the correct method as evidenced by the other two showing an error, and with GRG Linear by showing the Starting point and Outcome matrix below - it gets in trouble when close to 0, but many starting points end up at the same value.</a:t>
              </a:r>
            </a:p>
            <a:p>
              <a:pPr lvl="0"/>
              <a:endParaRPr lang="en-US" sz="1100" b="1" baseline="0">
                <a:solidFill>
                  <a:schemeClr val="dk1"/>
                </a:solidFill>
                <a:effectLst/>
                <a:latin typeface="+mn-lt"/>
                <a:ea typeface="+mn-ea"/>
                <a:cs typeface="+mn-cs"/>
              </a:endParaRPr>
            </a:p>
            <a:p>
              <a:pPr lvl="0"/>
              <a:r>
                <a:rPr lang="en-US" sz="1100" b="1" baseline="0">
                  <a:solidFill>
                    <a:schemeClr val="dk1"/>
                  </a:solidFill>
                  <a:effectLst/>
                  <a:latin typeface="+mn-lt"/>
                  <a:ea typeface="+mn-ea"/>
                  <a:cs typeface="+mn-cs"/>
                </a:rPr>
                <a:t>Evolutionary did give the same answer if you set up bounds of &gt;=1 and &lt;= 300, but it took longer.</a:t>
              </a:r>
              <a:br>
                <a:rPr lang="en-US" sz="1100" baseline="0">
                  <a:solidFill>
                    <a:schemeClr val="dk1"/>
                  </a:solidFill>
                  <a:effectLst/>
                  <a:latin typeface="+mn-lt"/>
                  <a:ea typeface="+mn-ea"/>
                  <a:cs typeface="+mn-cs"/>
                </a:rPr>
              </a:b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Is it ok to leave out the integer constraint for this problem?  In other words, what is it about the structure of this function that influences your answer?</a:t>
              </a:r>
            </a:p>
            <a:p>
              <a:pPr lvl="0"/>
              <a:endParaRPr lang="en-US" sz="1100">
                <a:solidFill>
                  <a:schemeClr val="dk1"/>
                </a:solidFill>
                <a:effectLst/>
                <a:latin typeface="+mn-lt"/>
                <a:ea typeface="+mn-ea"/>
                <a:cs typeface="+mn-cs"/>
              </a:endParaRPr>
            </a:p>
            <a:p>
              <a:r>
                <a:rPr lang="en-US" sz="1100" b="1"/>
                <a:t>It is ok to leave out the integer constraint. GRG</a:t>
              </a:r>
              <a:r>
                <a:rPr lang="en-US" sz="1100" b="1" baseline="0"/>
                <a:t> Nonlinear and Evolutionary throw an error with this, and the ending number was so close that rounding up did not make a difference.</a:t>
              </a:r>
              <a:endParaRPr lang="en-US" sz="1100" b="1"/>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561975</xdr:colOff>
      <xdr:row>15</xdr:row>
      <xdr:rowOff>57150</xdr:rowOff>
    </xdr:from>
    <xdr:to>
      <xdr:col>28</xdr:col>
      <xdr:colOff>142875</xdr:colOff>
      <xdr:row>54</xdr:row>
      <xdr:rowOff>66675</xdr:rowOff>
    </xdr:to>
    <xdr:sp macro="" textlink="">
      <xdr:nvSpPr>
        <xdr:cNvPr id="2" name="TextBox 1">
          <a:extLst>
            <a:ext uri="{FF2B5EF4-FFF2-40B4-BE49-F238E27FC236}">
              <a16:creationId xmlns:a16="http://schemas.microsoft.com/office/drawing/2014/main" id="{D043BAC9-7175-4A22-A025-4EAD46466E4B}"/>
            </a:ext>
          </a:extLst>
        </xdr:cNvPr>
        <xdr:cNvSpPr txBox="1"/>
      </xdr:nvSpPr>
      <xdr:spPr>
        <a:xfrm>
          <a:off x="20259675" y="3036570"/>
          <a:ext cx="9944100" cy="72713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Methodology </a:t>
          </a:r>
        </a:p>
        <a:p>
          <a:pPr lvl="0"/>
          <a:endParaRPr lang="en-US" sz="1100" b="1">
            <a:solidFill>
              <a:schemeClr val="dk1"/>
            </a:solidFill>
            <a:effectLst/>
            <a:latin typeface="+mn-lt"/>
            <a:ea typeface="+mn-ea"/>
            <a:cs typeface="+mn-cs"/>
          </a:endParaRPr>
        </a:p>
        <a:p>
          <a:pPr lvl="0"/>
          <a:r>
            <a:rPr lang="en-US" sz="1100" b="0">
              <a:solidFill>
                <a:schemeClr val="dk1"/>
              </a:solidFill>
              <a:effectLst/>
              <a:latin typeface="+mn-lt"/>
              <a:ea typeface="+mn-ea"/>
              <a:cs typeface="+mn-cs"/>
            </a:rPr>
            <a:t>We</a:t>
          </a:r>
          <a:r>
            <a:rPr lang="en-US" sz="1100" b="0" baseline="0">
              <a:solidFill>
                <a:schemeClr val="dk1"/>
              </a:solidFill>
              <a:effectLst/>
              <a:latin typeface="+mn-lt"/>
              <a:ea typeface="+mn-ea"/>
              <a:cs typeface="+mn-cs"/>
            </a:rPr>
            <a:t> broke this problem into a few parts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1) G10:J17 High level description of strategies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2) B2:B48 Strategies and substrategies, their outcome and cost or value, multiplied by their percentage leads to an expected cost or value</a:t>
          </a:r>
        </a:p>
        <a:p>
          <a:pPr lvl="0"/>
          <a:r>
            <a:rPr lang="en-US" sz="1100" b="0" baseline="0">
              <a:solidFill>
                <a:schemeClr val="dk1"/>
              </a:solidFill>
              <a:effectLst/>
              <a:latin typeface="+mn-lt"/>
              <a:ea typeface="+mn-ea"/>
              <a:cs typeface="+mn-cs"/>
            </a:rPr>
            <a:t>3) B53:B95 Another section seeing what would happen if you hired the consultant - the ideal perfect knowledge outcome, the percentage accuracy of the consultant and the cost of the consultant</a:t>
          </a:r>
          <a:endParaRPr lang="en-US" sz="1100" b="0">
            <a:solidFill>
              <a:schemeClr val="dk1"/>
            </a:solidFill>
            <a:effectLst/>
            <a:latin typeface="+mn-lt"/>
            <a:ea typeface="+mn-ea"/>
            <a:cs typeface="+mn-cs"/>
          </a:endParaRPr>
        </a:p>
        <a:p>
          <a:pPr lvl="0"/>
          <a:endParaRPr lang="en-US" sz="1100" b="1">
            <a:solidFill>
              <a:schemeClr val="dk1"/>
            </a:solidFill>
            <a:effectLst/>
            <a:latin typeface="+mn-lt"/>
            <a:ea typeface="+mn-ea"/>
            <a:cs typeface="+mn-cs"/>
          </a:endParaRPr>
        </a:p>
        <a:p>
          <a:pPr lvl="0"/>
          <a:r>
            <a:rPr lang="en-US" sz="1100" b="1">
              <a:solidFill>
                <a:schemeClr val="dk1"/>
              </a:solidFill>
              <a:effectLst/>
              <a:latin typeface="+mn-lt"/>
              <a:ea typeface="+mn-ea"/>
              <a:cs typeface="+mn-cs"/>
            </a:rPr>
            <a:t>A) What is the optimal decision to maximize expected income?  </a:t>
          </a:r>
        </a:p>
        <a:p>
          <a:br>
            <a:rPr lang="en-US" sz="1100"/>
          </a:br>
          <a:r>
            <a:rPr lang="en-US" sz="1100"/>
            <a:t>If you play out all these values for Expected Value</a:t>
          </a:r>
          <a:br>
            <a:rPr lang="en-US" sz="1100"/>
          </a:br>
          <a:br>
            <a:rPr lang="en-US" sz="1100"/>
          </a:br>
          <a:r>
            <a:rPr lang="en-US" sz="1100"/>
            <a:t>Launch</a:t>
          </a:r>
          <a:r>
            <a:rPr lang="en-US" sz="1100" baseline="0"/>
            <a:t> User Experience immediately returns 1.794 billion,</a:t>
          </a:r>
        </a:p>
        <a:p>
          <a:r>
            <a:rPr lang="en-US" sz="1100" baseline="0"/>
            <a:t>Launch Cosmetic returns 1.935 billion</a:t>
          </a:r>
        </a:p>
        <a:p>
          <a:r>
            <a:rPr lang="en-US" sz="1100" b="1" baseline="0"/>
            <a:t>Wait for legislation then decide returns 2.68 billion</a:t>
          </a:r>
        </a:p>
        <a:p>
          <a:r>
            <a:rPr lang="en-US" sz="1100" baseline="0"/>
            <a:t>Wait for EPA ruling returns 618 million</a:t>
          </a:r>
        </a:p>
        <a:p>
          <a:endParaRPr lang="en-US" sz="1100" baseline="0"/>
        </a:p>
        <a:p>
          <a:r>
            <a:rPr lang="en-US" sz="1100" b="1" baseline="0"/>
            <a:t>Waiting for legislation and then deciding returns the highest expected value over 18 months, and what is more it does not hold the risk of the recall.</a:t>
          </a:r>
          <a:br>
            <a:rPr lang="en-US" sz="1100" b="1" baseline="0"/>
          </a:br>
          <a:br>
            <a:rPr lang="en-US" sz="1100" b="1" baseline="0"/>
          </a:br>
          <a:r>
            <a:rPr lang="en-US" sz="1100" b="1" baseline="0"/>
            <a:t>B) </a:t>
          </a:r>
          <a:r>
            <a:rPr lang="en-US" sz="1100" b="1">
              <a:solidFill>
                <a:schemeClr val="dk1"/>
              </a:solidFill>
              <a:effectLst/>
              <a:latin typeface="+mn-lt"/>
              <a:ea typeface="+mn-ea"/>
              <a:cs typeface="+mn-cs"/>
            </a:rPr>
            <a:t>Which option is riskier?  Would the risk be worth the reward, in your opinion? </a:t>
          </a:r>
          <a:br>
            <a:rPr lang="en-US" sz="1100" b="1">
              <a:solidFill>
                <a:schemeClr val="dk1"/>
              </a:solidFill>
              <a:effectLst/>
              <a:latin typeface="+mn-lt"/>
              <a:ea typeface="+mn-ea"/>
              <a:cs typeface="+mn-cs"/>
            </a:rPr>
          </a:br>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The riskiest option is to Launch</a:t>
          </a:r>
          <a:r>
            <a:rPr lang="en-US" sz="1100" baseline="0">
              <a:solidFill>
                <a:schemeClr val="dk1"/>
              </a:solidFill>
              <a:effectLst/>
              <a:latin typeface="+mn-lt"/>
              <a:ea typeface="+mn-ea"/>
              <a:cs typeface="+mn-cs"/>
            </a:rPr>
            <a:t> the User Experience immediately. There is an expected value here, but there is a chance of a big recall, which is negative. I would say it is not worth it - expected value is important, but the chance of something like a 1.5 x the profit having to pay back is not worth it.</a:t>
          </a:r>
        </a:p>
        <a:p>
          <a:endParaRPr lang="en-US">
            <a:effectLst/>
          </a:endParaRPr>
        </a:p>
        <a:p>
          <a:r>
            <a:rPr lang="en-US" sz="1100">
              <a:solidFill>
                <a:schemeClr val="dk1"/>
              </a:solidFill>
              <a:effectLst/>
              <a:latin typeface="+mn-lt"/>
              <a:ea typeface="+mn-ea"/>
              <a:cs typeface="+mn-cs"/>
            </a:rPr>
            <a:t>What’s the most you would pay for the consulting company’s expertise?  What would it be worth to know the EPA decision in advance?</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Everyone acknowledges that the 70% estimate of the component being in violation of the EPA’s interpretation is a “shot in the dark.”  How important is this value to the decision?  If the estimate is wrong what would be the consequence to the company?</a:t>
          </a:r>
          <a:br>
            <a:rPr lang="en-US" sz="1100">
              <a:solidFill>
                <a:schemeClr val="dk1"/>
              </a:solidFill>
              <a:effectLst/>
              <a:latin typeface="+mn-lt"/>
              <a:ea typeface="+mn-ea"/>
              <a:cs typeface="+mn-cs"/>
            </a:rPr>
          </a:b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C) What’s the most you would pay for the consulting company’s expertise?  What would it be worth to know the EPA decision in advance?</a:t>
          </a:r>
        </a:p>
        <a:p>
          <a:r>
            <a:rPr lang="en-US">
              <a:effectLst/>
            </a:rPr>
            <a:t>The value of understanding risk completely is 693</a:t>
          </a:r>
          <a:r>
            <a:rPr lang="en-US" baseline="0">
              <a:effectLst/>
            </a:rPr>
            <a:t> million, but that is without the consultant margin of error. When we factor in consultant margin of error, their value is 215 million, which is less than the 250 they charge. So 215 million is the price point, but keep in mind that with them - C66 shows there is a 3% chance that they will get it wrong and lead to a recall, which is the worst of all outcomes. That option might be taken off the table - expected outcome might not include this risk at all.</a:t>
          </a:r>
          <a:br>
            <a:rPr lang="en-US" baseline="0">
              <a:effectLst/>
            </a:rPr>
          </a:br>
          <a:br>
            <a:rPr lang="en-US" baseline="0">
              <a:effectLst/>
            </a:rPr>
          </a:br>
          <a:r>
            <a:rPr lang="en-US" baseline="0">
              <a:effectLst/>
            </a:rPr>
            <a:t>But in general, the consultant is not worth it.</a:t>
          </a:r>
        </a:p>
        <a:p>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 Everyone acknowledges that the 70% estimate of the component being in violation of the EPA’s interpretation is a “shot in the dark.”  How important is this value to the decision?  If the estimate is wrong what would be the consequence to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If this anything like</a:t>
          </a:r>
          <a:r>
            <a:rPr lang="en-US" sz="1100" baseline="0">
              <a:solidFill>
                <a:schemeClr val="dk1"/>
              </a:solidFill>
              <a:effectLst/>
              <a:latin typeface="+mn-lt"/>
              <a:ea typeface="+mn-ea"/>
              <a:cs typeface="+mn-cs"/>
            </a:rPr>
            <a:t> a shot in the dark, or holds any uncertainty here, I would take this possibility off the table. If a path's uncertainty holds a chance of having to pay the Product Recall, it is not worth it. Any &gt; 0 probability of that Product Recall might not be worth it.</a:t>
          </a:r>
          <a:endParaRPr lang="en-US" sz="1100">
            <a:solidFill>
              <a:schemeClr val="dk1"/>
            </a:solidFill>
            <a:effectLst/>
            <a:latin typeface="+mn-lt"/>
            <a:ea typeface="+mn-ea"/>
            <a:cs typeface="+mn-cs"/>
          </a:endParaRPr>
        </a:p>
        <a:p>
          <a:endParaRPr lang="en-US">
            <a:effectLst/>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60960</xdr:colOff>
      <xdr:row>2</xdr:row>
      <xdr:rowOff>152400</xdr:rowOff>
    </xdr:from>
    <xdr:to>
      <xdr:col>27</xdr:col>
      <xdr:colOff>419100</xdr:colOff>
      <xdr:row>37</xdr:row>
      <xdr:rowOff>53340</xdr:rowOff>
    </xdr:to>
    <xdr:sp macro="" textlink="">
      <xdr:nvSpPr>
        <xdr:cNvPr id="2" name="TextBox 1">
          <a:extLst>
            <a:ext uri="{FF2B5EF4-FFF2-40B4-BE49-F238E27FC236}">
              <a16:creationId xmlns:a16="http://schemas.microsoft.com/office/drawing/2014/main" id="{7E3BC658-C721-4387-995D-5A3D9AD2567A}"/>
            </a:ext>
          </a:extLst>
        </xdr:cNvPr>
        <xdr:cNvSpPr txBox="1"/>
      </xdr:nvSpPr>
      <xdr:spPr>
        <a:xfrm>
          <a:off x="8976360" y="518160"/>
          <a:ext cx="8282940" cy="6301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Airline Booking Policies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all of the following simulation problems, provide a spreadsheet with the model and simulation.    Provide simulation results as you think best and provide a written summary of your solution and findings from the simulation.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 ticket from Indianapolis to Orlando, Florida on AirSpiritWest Airlines sells for $150.  The plane can hold 100 people.  It costs AirSpiritWest $8000 to fly an empty plane.  Each person on the plane incurs variable costs of $30 (for food and fuel).  If the flight is overbooked, anyone who cannot get a seat receives $300 in compensation.  On average, 95% of all people who have a reservation show up for the flight.  </a:t>
          </a:r>
        </a:p>
        <a:p>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A) Run a simulation to determine how many reservations for the flight AirSpiritWest should book to maximize expected profit.  </a:t>
          </a:r>
          <a:r>
            <a:rPr lang="en-US" sz="1100" b="1">
              <a:solidFill>
                <a:schemeClr val="dk1"/>
              </a:solidFill>
              <a:effectLst/>
              <a:latin typeface="+mn-lt"/>
              <a:ea typeface="+mn-ea"/>
              <a:cs typeface="+mn-cs"/>
            </a:rPr>
            <a:t>NOTE</a:t>
          </a:r>
          <a:r>
            <a:rPr lang="en-US" sz="1100">
              <a:solidFill>
                <a:schemeClr val="dk1"/>
              </a:solidFill>
              <a:effectLst/>
              <a:latin typeface="+mn-lt"/>
              <a:ea typeface="+mn-ea"/>
              <a:cs typeface="+mn-cs"/>
            </a:rPr>
            <a:t>:  Assume that passengers who do not show </a:t>
          </a:r>
          <a:r>
            <a:rPr lang="en-US" sz="1100" b="1">
              <a:solidFill>
                <a:schemeClr val="dk1"/>
              </a:solidFill>
              <a:effectLst/>
              <a:latin typeface="+mn-lt"/>
              <a:ea typeface="+mn-ea"/>
              <a:cs typeface="+mn-cs"/>
            </a:rPr>
            <a:t>can </a:t>
          </a:r>
          <a:r>
            <a:rPr lang="en-US" sz="1100" b="1" i="1">
              <a:solidFill>
                <a:schemeClr val="dk1"/>
              </a:solidFill>
              <a:effectLst/>
              <a:latin typeface="+mn-lt"/>
              <a:ea typeface="+mn-ea"/>
              <a:cs typeface="+mn-cs"/>
            </a:rPr>
            <a:t>not</a:t>
          </a:r>
          <a:r>
            <a:rPr lang="en-US" sz="1100">
              <a:solidFill>
                <a:schemeClr val="dk1"/>
              </a:solidFill>
              <a:effectLst/>
              <a:latin typeface="+mn-lt"/>
              <a:ea typeface="+mn-ea"/>
              <a:cs typeface="+mn-cs"/>
            </a:rPr>
            <a:t> get a refund.</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B) Now suppose that AirSpiritWest has done some data analysis of past flights and they have determined that the actual amount of compensation paid to bumped passengers is random and the probability of ticketed travelers showing up is also random.  AirSpiritWest tends to pay compensation to bumped passengers in vouchers and they either pay nothing in compensation, $100, $300 or $750 in vouchers depending on how upset passengers are (they pay the same amount to all passengers bumped from the same flight).  By past data they have paid nothing 15% of the time, 45% of the time they have paid $100, 10% of the time they have paid $300, and 30% of the time they have paid $750.  The probability of a ticketed traveler showing up for the flight is best modeled with a triangular distribution with minimum probability of 0.88, most likely probability of 0.98, and maximum probability of 0.99.    Now how many reservations for the flight should AirSpiritWest book?  How is this solution different from the original problem?  Why do you guess that is?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C) The data analysis is not completely clear on one more point: correlation between the compensation paid and the probability of a ticketed traveler showing up.  Some analysts are convinced that there is a positive correlation in the range of 0.4 while others are convinced it’s negative at -0.6.  The argument for the positive correlation is that if the probability of showing up is high, then more passengers will get bumped so more passengers will be inconvenienced and angry and they will have to pay a higher compensation.  The argument for the negative correlation is that if more passengers show up, then more people are bumped so travelers see that other people are also being bumped and they are more willing to accept a lower compensation since they’re not being singled out.  The data analysis is not clear which way it goes and further tests are being run.  However, the more extensive testing is going to take several weeks and you have to produce a report right now.  What is the effect of correlation on the number of reservations that AirSpiritWest should book for the flight?  How much difference does the negative versus positive correlation make?  Why do you suspect it has this effect? </a:t>
          </a:r>
        </a:p>
        <a:p>
          <a:endParaRPr lang="en-US" sz="1100"/>
        </a:p>
      </xdr:txBody>
    </xdr:sp>
    <xdr:clientData/>
  </xdr:twoCellAnchor>
  <xdr:twoCellAnchor>
    <xdr:from>
      <xdr:col>1</xdr:col>
      <xdr:colOff>0</xdr:colOff>
      <xdr:row>2</xdr:row>
      <xdr:rowOff>0</xdr:rowOff>
    </xdr:from>
    <xdr:to>
      <xdr:col>13</xdr:col>
      <xdr:colOff>365760</xdr:colOff>
      <xdr:row>46</xdr:row>
      <xdr:rowOff>144780</xdr:rowOff>
    </xdr:to>
    <xdr:sp macro="" textlink="">
      <xdr:nvSpPr>
        <xdr:cNvPr id="3" name="TextBox 2">
          <a:extLst>
            <a:ext uri="{FF2B5EF4-FFF2-40B4-BE49-F238E27FC236}">
              <a16:creationId xmlns:a16="http://schemas.microsoft.com/office/drawing/2014/main" id="{82C8EA39-F181-4077-AE85-07F2923B8E71}"/>
            </a:ext>
          </a:extLst>
        </xdr:cNvPr>
        <xdr:cNvSpPr txBox="1"/>
      </xdr:nvSpPr>
      <xdr:spPr>
        <a:xfrm>
          <a:off x="609600" y="365760"/>
          <a:ext cx="8061960" cy="81915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Methodology:</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For each</a:t>
          </a:r>
          <a:r>
            <a:rPr lang="en-US" sz="1100" b="1" baseline="0">
              <a:solidFill>
                <a:schemeClr val="dk1"/>
              </a:solidFill>
              <a:effectLst/>
              <a:latin typeface="+mn-lt"/>
              <a:ea typeface="+mn-ea"/>
              <a:cs typeface="+mn-cs"/>
            </a:rPr>
            <a:t> question, I ran a data simulation of 100 trials and took averages. I set up the first on the following sheet, and modified the variables and columns for the second and third data simulations on the following sheets.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I found the answers by running a manual sensititivity analysis, ie running the trials many times with various inputs and capturing the results into a chart on the page.</a:t>
          </a:r>
          <a:br>
            <a:rPr lang="en-US" sz="1100" b="1">
              <a:solidFill>
                <a:schemeClr val="dk1"/>
              </a:solidFill>
              <a:effectLst/>
              <a:latin typeface="+mn-lt"/>
              <a:ea typeface="+mn-ea"/>
              <a:cs typeface="+mn-cs"/>
            </a:rPr>
          </a:br>
          <a:br>
            <a:rPr lang="en-US" sz="1100">
              <a:solidFill>
                <a:schemeClr val="dk1"/>
              </a:solidFill>
              <a:effectLst/>
              <a:latin typeface="+mn-lt"/>
              <a:ea typeface="+mn-ea"/>
              <a:cs typeface="+mn-cs"/>
            </a:rPr>
          </a:br>
          <a:r>
            <a:rPr lang="en-US" sz="1100">
              <a:solidFill>
                <a:schemeClr val="dk1"/>
              </a:solidFill>
              <a:effectLst/>
              <a:latin typeface="+mn-lt"/>
              <a:ea typeface="+mn-ea"/>
              <a:cs typeface="+mn-cs"/>
            </a:rPr>
            <a:t>A) Run a simulation to determine how many reservations for the flight AirSpiritWest should book to maximize expected profit.  </a:t>
          </a:r>
          <a:r>
            <a:rPr lang="en-US" sz="1100" b="1">
              <a:solidFill>
                <a:schemeClr val="dk1"/>
              </a:solidFill>
              <a:effectLst/>
              <a:latin typeface="+mn-lt"/>
              <a:ea typeface="+mn-ea"/>
              <a:cs typeface="+mn-cs"/>
            </a:rPr>
            <a:t>NOTE</a:t>
          </a:r>
          <a:r>
            <a:rPr lang="en-US" sz="1100">
              <a:solidFill>
                <a:schemeClr val="dk1"/>
              </a:solidFill>
              <a:effectLst/>
              <a:latin typeface="+mn-lt"/>
              <a:ea typeface="+mn-ea"/>
              <a:cs typeface="+mn-cs"/>
            </a:rPr>
            <a:t>:  Assume that passengers who do not show </a:t>
          </a:r>
          <a:r>
            <a:rPr lang="en-US" sz="1100" b="1">
              <a:solidFill>
                <a:schemeClr val="dk1"/>
              </a:solidFill>
              <a:effectLst/>
              <a:latin typeface="+mn-lt"/>
              <a:ea typeface="+mn-ea"/>
              <a:cs typeface="+mn-cs"/>
            </a:rPr>
            <a:t>can </a:t>
          </a:r>
          <a:r>
            <a:rPr lang="en-US" sz="1100" b="1" i="1">
              <a:solidFill>
                <a:schemeClr val="dk1"/>
              </a:solidFill>
              <a:effectLst/>
              <a:latin typeface="+mn-lt"/>
              <a:ea typeface="+mn-ea"/>
              <a:cs typeface="+mn-cs"/>
            </a:rPr>
            <a:t>not</a:t>
          </a:r>
          <a:r>
            <a:rPr lang="en-US" sz="1100">
              <a:solidFill>
                <a:schemeClr val="dk1"/>
              </a:solidFill>
              <a:effectLst/>
              <a:latin typeface="+mn-lt"/>
              <a:ea typeface="+mn-ea"/>
              <a:cs typeface="+mn-cs"/>
            </a:rPr>
            <a:t> get a refund.</a:t>
          </a:r>
          <a:endParaRPr lang="en-US">
            <a:effectLst/>
          </a:endParaRPr>
        </a:p>
        <a:p>
          <a:endParaRPr lang="en-US" sz="1100"/>
        </a:p>
        <a:p>
          <a:r>
            <a:rPr lang="en-US" sz="1100" b="1"/>
            <a:t>We</a:t>
          </a:r>
          <a:r>
            <a:rPr lang="en-US" sz="1100" b="1" baseline="0"/>
            <a:t> ran a simulation with 100 trials, and a variety of trial reservations from 80 to 115, going up by 5. Averaging out those meta trials we find that 105 reservations is the peak. Further sub trials show that the peak is somewhere between 104 and 107.</a:t>
          </a:r>
        </a:p>
        <a:p>
          <a:endParaRPr lang="en-US" sz="1100" b="1"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B) Now suppose that AirSpiritWest has done some data analysis of past flights and they have determined that the actual amount of compensation paid to bumped passengers is random and the probability of ticketed travelers showing up is also random.  AirSpiritWest tends to pay compensation to bumped passengers in vouchers and they either pay nothing in compensation, $100, $300 or $750 in vouchers depending on how upset passengers are (they pay the same amount to all passengers bumped from the same flight).  By past data they have paid nothing 15% of the time, 45% of the time they have paid $100, 10% of the time they have paid $300, and 30% of the time they have paid $750.  The probability of a ticketed traveler showing up for the flight is best modeled with a triangular distribution with minimum probability of 0.88, most likely probability of 0.98, and maximum probability of 0.99.    Now how many reservations for the flight should AirSpiritWest book?  How is this solution different from the original problem?  Why do you guess that is?</a:t>
          </a:r>
          <a:br>
            <a:rPr lang="en-US" sz="1100">
              <a:solidFill>
                <a:schemeClr val="dk1"/>
              </a:solidFill>
              <a:effectLst/>
              <a:latin typeface="+mn-lt"/>
              <a:ea typeface="+mn-ea"/>
              <a:cs typeface="+mn-cs"/>
            </a:rPr>
          </a:b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Running the simulation</a:t>
          </a:r>
          <a:r>
            <a:rPr lang="en-US" sz="1100" b="1" baseline="0">
              <a:solidFill>
                <a:schemeClr val="dk1"/>
              </a:solidFill>
              <a:effectLst/>
              <a:latin typeface="+mn-lt"/>
              <a:ea typeface="+mn-ea"/>
              <a:cs typeface="+mn-cs"/>
            </a:rPr>
            <a:t> again with these extra numbers, we see the same answer - 105 is the optimal amount of reservations, with 104-107 being a good range.</a:t>
          </a:r>
          <a:br>
            <a:rPr lang="en-US" sz="1100" b="1" baseline="0">
              <a:solidFill>
                <a:schemeClr val="dk1"/>
              </a:solidFill>
              <a:effectLst/>
              <a:latin typeface="+mn-lt"/>
              <a:ea typeface="+mn-ea"/>
              <a:cs typeface="+mn-cs"/>
            </a:rPr>
          </a:br>
          <a:br>
            <a:rPr lang="en-US" sz="1100" b="1" baseline="0">
              <a:solidFill>
                <a:schemeClr val="dk1"/>
              </a:solidFill>
              <a:effectLst/>
              <a:latin typeface="+mn-lt"/>
              <a:ea typeface="+mn-ea"/>
              <a:cs typeface="+mn-cs"/>
            </a:rPr>
          </a:br>
          <a:r>
            <a:rPr lang="en-US" sz="1100" b="1" baseline="0">
              <a:solidFill>
                <a:schemeClr val="dk1"/>
              </a:solidFill>
              <a:effectLst/>
              <a:latin typeface="+mn-lt"/>
              <a:ea typeface="+mn-ea"/>
              <a:cs typeface="+mn-cs"/>
            </a:rPr>
            <a:t>The one way that this is different is there is more variation. MAX - MIN for each column is higher than in data simulation 1 - that is probably due to the increased variability in booking refunds.</a:t>
          </a:r>
          <a:endParaRPr lang="en-US">
            <a:effectLst/>
          </a:endParaRPr>
        </a:p>
        <a:p>
          <a:pPr eaLnBrk="1" fontAlgn="auto" latinLnBrk="0" hangingPunct="1"/>
          <a:br>
            <a:rPr lang="en-US" sz="1100" b="1"/>
          </a:br>
          <a:r>
            <a:rPr lang="en-US" sz="1100">
              <a:solidFill>
                <a:schemeClr val="dk1"/>
              </a:solidFill>
              <a:effectLst/>
              <a:latin typeface="+mn-lt"/>
              <a:ea typeface="+mn-ea"/>
              <a:cs typeface="+mn-cs"/>
            </a:rPr>
            <a:t>C) The data analysis is not completely clear on one more point: correlation between the compensation paid and the probability of a ticketed traveler showing up.  Some analysts are convinced that there is a positive correlation in the range of 0.4 while others are convinced it’s negative at -0.6.  The argument for the positive correlation is that if the probability of showing up is high, then more passengers will get bumped so more passengers will be inconvenienced and angry and they will have to pay a higher compensation.  The argument for the negative correlation is that if more passengers show up, then more people are bumped so travelers see that other people are also being bumped and they are more willing to accept a lower compensation since they’re not being singled out.  The data analysis is not clear which way it goes and further tests are being run.  However, the more extensive testing is going to take several weeks and you have to produce a report right now.  What is the effect of correlation on the number of reservations that AirSpiritWest should book for the flight?  How much difference does the negative versus positive correlation make?  Why do you suspect it has this effect? </a:t>
          </a:r>
          <a:br>
            <a:rPr lang="en-US" sz="1100">
              <a:solidFill>
                <a:schemeClr val="dk1"/>
              </a:solidFill>
              <a:effectLst/>
              <a:latin typeface="+mn-lt"/>
              <a:ea typeface="+mn-ea"/>
              <a:cs typeface="+mn-cs"/>
            </a:rPr>
          </a:b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The methodology here was we factored in correlation as another decision</a:t>
          </a:r>
          <a:r>
            <a:rPr lang="en-US" sz="1100" b="1" baseline="0">
              <a:solidFill>
                <a:schemeClr val="dk1"/>
              </a:solidFill>
              <a:effectLst/>
              <a:latin typeface="+mn-lt"/>
              <a:ea typeface="+mn-ea"/>
              <a:cs typeface="+mn-cs"/>
            </a:rPr>
            <a:t> variable. which influenced the compensation per passenger. We then ran a smaller version of the previous data simulations where we found what was the average profit per Trial reservation and with various correlations. We found similar numbers to the previous simulations, which suggests that there is less of an effect of various correlation than it would appear from an initial hypothesis of there is an effect.</a:t>
          </a:r>
          <a:br>
            <a:rPr lang="en-US" sz="1100" b="1" baseline="0">
              <a:solidFill>
                <a:schemeClr val="dk1"/>
              </a:solidFill>
              <a:effectLst/>
              <a:latin typeface="+mn-lt"/>
              <a:ea typeface="+mn-ea"/>
              <a:cs typeface="+mn-cs"/>
            </a:rPr>
          </a:br>
          <a:br>
            <a:rPr lang="en-US" sz="1100" b="1" baseline="0">
              <a:solidFill>
                <a:schemeClr val="dk1"/>
              </a:solidFill>
              <a:effectLst/>
              <a:latin typeface="+mn-lt"/>
              <a:ea typeface="+mn-ea"/>
              <a:cs typeface="+mn-cs"/>
            </a:rPr>
          </a:br>
          <a:r>
            <a:rPr lang="en-US" sz="1100" b="1" baseline="0">
              <a:solidFill>
                <a:schemeClr val="dk1"/>
              </a:solidFill>
              <a:effectLst/>
              <a:latin typeface="+mn-lt"/>
              <a:ea typeface="+mn-ea"/>
              <a:cs typeface="+mn-cs"/>
            </a:rPr>
            <a:t>Why it has this effect? Or rather non-effect? It might be the other factors in the trial are negating it overall, so there is not a visible effect.</a:t>
          </a:r>
          <a:endParaRPr lang="en-US">
            <a:effectLst/>
          </a:endParaRPr>
        </a:p>
        <a:p>
          <a:br>
            <a:rPr lang="en-US" sz="1100">
              <a:solidFill>
                <a:schemeClr val="dk1"/>
              </a:solidFill>
              <a:effectLst/>
              <a:latin typeface="+mn-lt"/>
              <a:ea typeface="+mn-ea"/>
              <a:cs typeface="+mn-cs"/>
            </a:rPr>
          </a:br>
          <a:endParaRPr lang="en-US">
            <a:effectLst/>
          </a:endParaRPr>
        </a:p>
        <a:p>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289560</xdr:colOff>
      <xdr:row>10</xdr:row>
      <xdr:rowOff>30480</xdr:rowOff>
    </xdr:from>
    <xdr:to>
      <xdr:col>28</xdr:col>
      <xdr:colOff>114300</xdr:colOff>
      <xdr:row>26</xdr:row>
      <xdr:rowOff>0</xdr:rowOff>
    </xdr:to>
    <xdr:sp macro="" textlink="">
      <xdr:nvSpPr>
        <xdr:cNvPr id="2" name="TextBox 1">
          <a:extLst>
            <a:ext uri="{FF2B5EF4-FFF2-40B4-BE49-F238E27FC236}">
              <a16:creationId xmlns:a16="http://schemas.microsoft.com/office/drawing/2014/main" id="{68A3E849-F1FA-480E-AA60-B44740E41924}"/>
            </a:ext>
          </a:extLst>
        </xdr:cNvPr>
        <xdr:cNvSpPr txBox="1"/>
      </xdr:nvSpPr>
      <xdr:spPr>
        <a:xfrm>
          <a:off x="14020800" y="1859280"/>
          <a:ext cx="4701540" cy="2895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 Run a simulation to determine how many reservations for the flight AirSpiritWest should book to maximize expected profit.  </a:t>
          </a:r>
          <a:r>
            <a:rPr lang="en-US" sz="1100" b="1">
              <a:solidFill>
                <a:schemeClr val="dk1"/>
              </a:solidFill>
              <a:effectLst/>
              <a:latin typeface="+mn-lt"/>
              <a:ea typeface="+mn-ea"/>
              <a:cs typeface="+mn-cs"/>
            </a:rPr>
            <a:t>NOTE</a:t>
          </a:r>
          <a:r>
            <a:rPr lang="en-US" sz="1100">
              <a:solidFill>
                <a:schemeClr val="dk1"/>
              </a:solidFill>
              <a:effectLst/>
              <a:latin typeface="+mn-lt"/>
              <a:ea typeface="+mn-ea"/>
              <a:cs typeface="+mn-cs"/>
            </a:rPr>
            <a:t>:  Assume that passengers who do not show </a:t>
          </a:r>
          <a:r>
            <a:rPr lang="en-US" sz="1100" b="1">
              <a:solidFill>
                <a:schemeClr val="dk1"/>
              </a:solidFill>
              <a:effectLst/>
              <a:latin typeface="+mn-lt"/>
              <a:ea typeface="+mn-ea"/>
              <a:cs typeface="+mn-cs"/>
            </a:rPr>
            <a:t>can </a:t>
          </a:r>
          <a:r>
            <a:rPr lang="en-US" sz="1100" b="1" i="1">
              <a:solidFill>
                <a:schemeClr val="dk1"/>
              </a:solidFill>
              <a:effectLst/>
              <a:latin typeface="+mn-lt"/>
              <a:ea typeface="+mn-ea"/>
              <a:cs typeface="+mn-cs"/>
            </a:rPr>
            <a:t>not</a:t>
          </a:r>
          <a:r>
            <a:rPr lang="en-US" sz="1100">
              <a:solidFill>
                <a:schemeClr val="dk1"/>
              </a:solidFill>
              <a:effectLst/>
              <a:latin typeface="+mn-lt"/>
              <a:ea typeface="+mn-ea"/>
              <a:cs typeface="+mn-cs"/>
            </a:rPr>
            <a:t> get a refund.</a:t>
          </a:r>
          <a:endParaRPr lang="en-US">
            <a:effectLst/>
          </a:endParaRPr>
        </a:p>
        <a:p>
          <a:endParaRPr lang="en-US" sz="1100"/>
        </a:p>
        <a:p>
          <a:r>
            <a:rPr lang="en-US" sz="1100" b="1"/>
            <a:t>We</a:t>
          </a:r>
          <a:r>
            <a:rPr lang="en-US" sz="1100" b="1" baseline="0"/>
            <a:t> ran a simulation with 100 trials, and a variety of trial reservations from 80 to 115, going up by 5. Averaging out those meta trials we find that 105 reservations is the peak. Further sub trials show that the peak is somewhere between 104 and 107.</a:t>
          </a:r>
          <a:endParaRPr lang="en-US" sz="1100"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nat\Downloads\Jonathan_Maas_2.xlsx" TargetMode="External"/><Relationship Id="rId1" Type="http://schemas.openxmlformats.org/officeDocument/2006/relationships/externalLinkPath" Target="Jonathan_Maas_2.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d.docs.live.net/ac009a75d96f2cd6/Desktop/assignment_5_individual/airline_booking%20(1).xlsx" TargetMode="External"/><Relationship Id="rId1" Type="http://schemas.openxmlformats.org/officeDocument/2006/relationships/externalLinkPath" Target="https://d.docs.live.net/ac009a75d96f2cd6/Desktop/assignment_5_individual/airline_booking%20(1).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jonat\Downloads\very_veggies.xlsx" TargetMode="External"/><Relationship Id="rId1" Type="http://schemas.openxmlformats.org/officeDocument/2006/relationships/externalLinkPath" Target="very_veggies.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d.docs.live.net/ac009a75d96f2cd6/Desktop/nemo_question.xlsx" TargetMode="External"/><Relationship Id="rId1" Type="http://schemas.openxmlformats.org/officeDocument/2006/relationships/externalLinkPath" Target="https://d.docs.live.net/ac009a75d96f2cd6/Desktop/nemo_question.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jonat\Downloads\Team_G01_Assignement_4-working%20(1).xlsx" TargetMode="External"/><Relationship Id="rId1" Type="http://schemas.openxmlformats.org/officeDocument/2006/relationships/externalLinkPath" Target="Team_G01_Assignement_4-working%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gaIdehen/Downloads/SCM_518/scm_518_week_2/Jonathan_Maas_Homework_2_al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reys_Pirates_Week_1_assignment%2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jonat\Downloads\Jonathan_Maas_Assignment_3.xlsx" TargetMode="External"/><Relationship Id="rId1" Type="http://schemas.openxmlformats.org/officeDocument/2006/relationships/externalLinkPath" Target="Jonathan_Maas_Assignment_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jonat\Downloads\Team_G01_Assignment_2%20(2).xlsx" TargetMode="External"/><Relationship Id="rId1" Type="http://schemas.openxmlformats.org/officeDocument/2006/relationships/externalLinkPath" Target="Team_G01_Assignment_2%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aga_Idehen_Assignment_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aga_Idehen_Assignment_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d.docs.live.net/ac009a75d96f2cd6/Desktop/SCM_518/week_3/pivot%20bikes.xlsx" TargetMode="External"/><Relationship Id="rId1" Type="http://schemas.openxmlformats.org/officeDocument/2006/relationships/externalLinkPath" Target="https://d.docs.live.net/ac009a75d96f2cd6/Desktop/SCM_518/week_3/pivot%20bikes.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jonat\Downloads\Jonathan_Maas_Assignment_4.xlsx" TargetMode="External"/><Relationship Id="rId1" Type="http://schemas.openxmlformats.org/officeDocument/2006/relationships/externalLinkPath" Target="Jonathan_Maas_Assignment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swer guide"/>
      <sheetName val="1_sugar_refinement"/>
      <sheetName val="sugar_refinement_STS"/>
      <sheetName val="1_STS_1"/>
      <sheetName val="2_berries_hood"/>
      <sheetName val="2_ST_berries_one_way"/>
      <sheetName val="2_ST_berries_two_way"/>
      <sheetName val="3_eco_rentals"/>
      <sheetName val="4_rental_professionals"/>
      <sheetName val="4_STS_4"/>
      <sheetName val="5_week_2_challenge_linear"/>
    </sheetNames>
    <sheetDataSet>
      <sheetData sheetId="0"/>
      <sheetData sheetId="1">
        <row r="6">
          <cell r="B6">
            <v>3</v>
          </cell>
          <cell r="C6">
            <v>4.5</v>
          </cell>
          <cell r="E6">
            <v>0.2</v>
          </cell>
          <cell r="F6">
            <v>0.24</v>
          </cell>
        </row>
        <row r="7">
          <cell r="B7">
            <v>5</v>
          </cell>
          <cell r="C7">
            <v>5.7</v>
          </cell>
          <cell r="E7">
            <v>0.3</v>
          </cell>
          <cell r="F7">
            <v>0.33</v>
          </cell>
        </row>
        <row r="11">
          <cell r="B11">
            <v>26000</v>
          </cell>
        </row>
        <row r="12">
          <cell r="B12">
            <v>4000</v>
          </cell>
        </row>
        <row r="13">
          <cell r="B13">
            <v>0</v>
          </cell>
        </row>
        <row r="14">
          <cell r="B14">
            <v>3500</v>
          </cell>
          <cell r="F14">
            <v>5200</v>
          </cell>
        </row>
        <row r="15">
          <cell r="F15">
            <v>960</v>
          </cell>
        </row>
        <row r="16">
          <cell r="F16">
            <v>0</v>
          </cell>
        </row>
        <row r="17">
          <cell r="F17">
            <v>1155</v>
          </cell>
        </row>
        <row r="19">
          <cell r="C19">
            <v>5200</v>
          </cell>
        </row>
        <row r="20">
          <cell r="C20">
            <v>2600</v>
          </cell>
        </row>
        <row r="26">
          <cell r="B26">
            <v>0</v>
          </cell>
        </row>
        <row r="27">
          <cell r="B27">
            <v>0</v>
          </cell>
        </row>
        <row r="28">
          <cell r="B28">
            <v>5200</v>
          </cell>
        </row>
        <row r="29">
          <cell r="B29">
            <v>2600</v>
          </cell>
        </row>
      </sheetData>
      <sheetData sheetId="2"/>
      <sheetData sheetId="3"/>
      <sheetData sheetId="4">
        <row r="4">
          <cell r="B4">
            <v>2</v>
          </cell>
          <cell r="C4">
            <v>4</v>
          </cell>
          <cell r="D4">
            <v>5</v>
          </cell>
        </row>
        <row r="5">
          <cell r="B5">
            <v>20000</v>
          </cell>
          <cell r="C5">
            <v>10000</v>
          </cell>
          <cell r="D5">
            <v>2000</v>
          </cell>
        </row>
        <row r="8">
          <cell r="B8">
            <v>8.25</v>
          </cell>
          <cell r="F8">
            <v>2210.757568359375</v>
          </cell>
        </row>
        <row r="9">
          <cell r="B9">
            <v>1.32</v>
          </cell>
          <cell r="F9">
            <v>2000.212158203125</v>
          </cell>
        </row>
        <row r="10">
          <cell r="B10">
            <v>6.93</v>
          </cell>
          <cell r="F10">
            <v>0</v>
          </cell>
        </row>
        <row r="11">
          <cell r="B11">
            <v>17.420000000000002</v>
          </cell>
          <cell r="F11">
            <v>0</v>
          </cell>
        </row>
        <row r="12">
          <cell r="B12">
            <v>1.76</v>
          </cell>
          <cell r="F12">
            <v>7999.7880859375</v>
          </cell>
        </row>
        <row r="13">
          <cell r="B13">
            <v>15.660000000000002</v>
          </cell>
          <cell r="F13">
            <v>1999.9998779296875</v>
          </cell>
        </row>
        <row r="14">
          <cell r="B14">
            <v>0.73</v>
          </cell>
        </row>
        <row r="15">
          <cell r="B15">
            <v>0.22</v>
          </cell>
          <cell r="F15">
            <v>4210.9697265625</v>
          </cell>
          <cell r="I15">
            <v>2210.757568359375</v>
          </cell>
        </row>
        <row r="16">
          <cell r="B16">
            <v>0.51</v>
          </cell>
          <cell r="F16">
            <v>29182.020205078123</v>
          </cell>
          <cell r="I16">
            <v>10000.000244140625</v>
          </cell>
        </row>
        <row r="17">
          <cell r="I17">
            <v>1999.9998779296875</v>
          </cell>
        </row>
        <row r="18">
          <cell r="F18">
            <v>9999.7879638671875</v>
          </cell>
        </row>
        <row r="19">
          <cell r="F19">
            <v>156596.67951416018</v>
          </cell>
        </row>
        <row r="21">
          <cell r="F21">
            <v>17789.242309570313</v>
          </cell>
        </row>
        <row r="22">
          <cell r="F22">
            <v>9072.5135778808599</v>
          </cell>
        </row>
      </sheetData>
      <sheetData sheetId="5"/>
      <sheetData sheetId="6"/>
      <sheetData sheetId="7">
        <row r="3">
          <cell r="B3">
            <v>1200</v>
          </cell>
        </row>
        <row r="4">
          <cell r="B4">
            <v>100</v>
          </cell>
        </row>
        <row r="5">
          <cell r="B5">
            <v>700</v>
          </cell>
        </row>
        <row r="6">
          <cell r="B6">
            <v>600</v>
          </cell>
        </row>
        <row r="7">
          <cell r="B7">
            <v>500</v>
          </cell>
        </row>
        <row r="15">
          <cell r="B15">
            <v>500</v>
          </cell>
          <cell r="C15">
            <v>700</v>
          </cell>
          <cell r="D15">
            <v>685</v>
          </cell>
          <cell r="E15">
            <v>685</v>
          </cell>
        </row>
        <row r="16">
          <cell r="B16">
            <v>0</v>
          </cell>
          <cell r="C16">
            <v>200</v>
          </cell>
          <cell r="D16">
            <v>-15</v>
          </cell>
          <cell r="E16">
            <v>0</v>
          </cell>
        </row>
        <row r="17">
          <cell r="B17">
            <v>0</v>
          </cell>
          <cell r="C17">
            <v>240000</v>
          </cell>
          <cell r="D17">
            <v>0</v>
          </cell>
          <cell r="E17">
            <v>0</v>
          </cell>
        </row>
        <row r="20">
          <cell r="B20">
            <v>0</v>
          </cell>
          <cell r="C20">
            <v>140000</v>
          </cell>
          <cell r="D20">
            <v>9000</v>
          </cell>
          <cell r="E20">
            <v>0</v>
          </cell>
        </row>
        <row r="21">
          <cell r="B21">
            <v>50000</v>
          </cell>
          <cell r="C21">
            <v>70000</v>
          </cell>
          <cell r="D21">
            <v>68500</v>
          </cell>
          <cell r="E21">
            <v>68500</v>
          </cell>
        </row>
        <row r="22">
          <cell r="B22">
            <v>50000</v>
          </cell>
          <cell r="C22">
            <v>450000</v>
          </cell>
          <cell r="D22">
            <v>77500</v>
          </cell>
          <cell r="E22">
            <v>68500</v>
          </cell>
        </row>
      </sheetData>
      <sheetData sheetId="8">
        <row r="4">
          <cell r="C4">
            <v>1000</v>
          </cell>
          <cell r="E4">
            <v>400</v>
          </cell>
          <cell r="G4">
            <v>1000</v>
          </cell>
          <cell r="H4">
            <v>10</v>
          </cell>
        </row>
        <row r="5">
          <cell r="C5">
            <v>500</v>
          </cell>
          <cell r="E5">
            <v>400</v>
          </cell>
          <cell r="G5">
            <v>1100</v>
          </cell>
          <cell r="H5">
            <v>10</v>
          </cell>
        </row>
        <row r="6">
          <cell r="C6">
            <v>450</v>
          </cell>
          <cell r="E6">
            <v>400</v>
          </cell>
          <cell r="G6">
            <v>1150</v>
          </cell>
          <cell r="H6">
            <v>10</v>
          </cell>
        </row>
        <row r="7">
          <cell r="C7">
            <v>300</v>
          </cell>
          <cell r="E7">
            <v>400</v>
          </cell>
          <cell r="G7">
            <v>1000</v>
          </cell>
          <cell r="H7">
            <v>10</v>
          </cell>
        </row>
        <row r="8">
          <cell r="C8">
            <v>600</v>
          </cell>
          <cell r="E8">
            <v>400</v>
          </cell>
          <cell r="G8">
            <v>1100</v>
          </cell>
          <cell r="H8">
            <v>10</v>
          </cell>
        </row>
        <row r="9">
          <cell r="C9">
            <v>750</v>
          </cell>
          <cell r="E9">
            <v>560</v>
          </cell>
          <cell r="G9">
            <v>1150</v>
          </cell>
          <cell r="H9">
            <v>14</v>
          </cell>
        </row>
        <row r="10">
          <cell r="C10">
            <v>500</v>
          </cell>
          <cell r="E10">
            <v>600</v>
          </cell>
          <cell r="G10">
            <v>1000</v>
          </cell>
          <cell r="H10">
            <v>26</v>
          </cell>
        </row>
        <row r="11">
          <cell r="C11">
            <v>600</v>
          </cell>
          <cell r="E11">
            <v>560</v>
          </cell>
          <cell r="G11">
            <v>900</v>
          </cell>
          <cell r="H11">
            <v>14</v>
          </cell>
        </row>
        <row r="12">
          <cell r="C12">
            <v>400</v>
          </cell>
          <cell r="E12">
            <v>600</v>
          </cell>
          <cell r="G12">
            <v>790</v>
          </cell>
          <cell r="H12">
            <v>16</v>
          </cell>
        </row>
        <row r="13">
          <cell r="C13">
            <v>200</v>
          </cell>
          <cell r="E13">
            <v>600</v>
          </cell>
          <cell r="G13">
            <v>1000</v>
          </cell>
          <cell r="H13">
            <v>16</v>
          </cell>
        </row>
        <row r="14">
          <cell r="C14">
            <v>100</v>
          </cell>
          <cell r="E14">
            <v>480</v>
          </cell>
          <cell r="G14">
            <v>900</v>
          </cell>
          <cell r="H14">
            <v>12</v>
          </cell>
        </row>
        <row r="16">
          <cell r="C16">
            <v>5400</v>
          </cell>
        </row>
        <row r="19">
          <cell r="C19">
            <v>40</v>
          </cell>
          <cell r="H19">
            <v>10</v>
          </cell>
        </row>
        <row r="20">
          <cell r="C20">
            <v>15</v>
          </cell>
          <cell r="H20">
            <v>0</v>
          </cell>
        </row>
        <row r="21">
          <cell r="C21">
            <v>600</v>
          </cell>
          <cell r="H21">
            <v>0</v>
          </cell>
        </row>
        <row r="22">
          <cell r="C22">
            <v>176</v>
          </cell>
          <cell r="H22">
            <v>4</v>
          </cell>
        </row>
        <row r="23">
          <cell r="C23">
            <v>75</v>
          </cell>
          <cell r="H23">
            <v>12</v>
          </cell>
        </row>
        <row r="24">
          <cell r="H24">
            <v>10</v>
          </cell>
        </row>
        <row r="25">
          <cell r="H25">
            <v>1760</v>
          </cell>
        </row>
        <row r="26">
          <cell r="H26">
            <v>16</v>
          </cell>
        </row>
        <row r="27">
          <cell r="H27">
            <v>1200</v>
          </cell>
        </row>
      </sheetData>
      <sheetData sheetId="9"/>
      <sheetData sheetId="10">
        <row r="5">
          <cell r="B5">
            <v>200</v>
          </cell>
          <cell r="C5">
            <v>0.17391304347826086</v>
          </cell>
        </row>
        <row r="6">
          <cell r="B6">
            <v>300</v>
          </cell>
          <cell r="C6">
            <v>0.2608695652173913</v>
          </cell>
        </row>
        <row r="7">
          <cell r="B7">
            <v>400</v>
          </cell>
          <cell r="C7">
            <v>0.34782608695652173</v>
          </cell>
        </row>
        <row r="8">
          <cell r="B8">
            <v>250</v>
          </cell>
          <cell r="C8">
            <v>0.21739130434782608</v>
          </cell>
        </row>
        <row r="15">
          <cell r="C15">
            <v>87400</v>
          </cell>
        </row>
        <row r="16">
          <cell r="C16">
            <v>97800</v>
          </cell>
        </row>
        <row r="17">
          <cell r="C17">
            <v>0</v>
          </cell>
        </row>
        <row r="18">
          <cell r="C18">
            <v>170500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all"/>
      <sheetName val="Data Simulation 1"/>
      <sheetName val="Data Simulation 2"/>
      <sheetName val="Data Simulation 3"/>
      <sheetName val="v1 - reference"/>
    </sheetNames>
    <sheetDataSet>
      <sheetData sheetId="0"/>
      <sheetData sheetId="1">
        <row r="13">
          <cell r="N13">
            <v>109</v>
          </cell>
        </row>
      </sheetData>
      <sheetData sheetId="2"/>
      <sheetData sheetId="3">
        <row r="14">
          <cell r="O14">
            <v>-0.6</v>
          </cell>
        </row>
      </sheetData>
      <sheetData sheetId="4">
        <row r="5">
          <cell r="C5">
            <v>120</v>
          </cell>
        </row>
        <row r="6">
          <cell r="C6">
            <v>8000</v>
          </cell>
        </row>
        <row r="7">
          <cell r="C7">
            <v>300</v>
          </cell>
        </row>
        <row r="9">
          <cell r="C9">
            <v>100</v>
          </cell>
        </row>
        <row r="12">
          <cell r="C12">
            <v>95</v>
          </cell>
        </row>
        <row r="13">
          <cell r="C13">
            <v>-5</v>
          </cell>
        </row>
        <row r="14">
          <cell r="C14">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y_veggies - best answer (2)"/>
      <sheetName val="very_veggies - best answer"/>
      <sheetName val="very_veggies (3)"/>
      <sheetName val="very_veggies (2)"/>
      <sheetName val="very_veggies"/>
    </sheetNames>
    <sheetDataSet>
      <sheetData sheetId="0" refreshError="1"/>
      <sheetData sheetId="1"/>
      <sheetData sheetId="2"/>
      <sheetData sheetId="3" refreshError="1"/>
      <sheetData sheetId="4">
        <row r="26">
          <cell r="E26">
            <v>70</v>
          </cell>
        </row>
        <row r="27">
          <cell r="E27">
            <v>7000</v>
          </cell>
        </row>
        <row r="28">
          <cell r="E28">
            <v>13</v>
          </cell>
        </row>
        <row r="29">
          <cell r="E29">
            <v>6</v>
          </cell>
        </row>
        <row r="30">
          <cell r="E30">
            <v>50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mo_question_1-working (3)"/>
      <sheetName val="nemo_question_1-working (2)"/>
      <sheetName val="nemo_question_1-working"/>
    </sheetNames>
    <sheetDataSet>
      <sheetData sheetId="0"/>
      <sheetData sheetId="1"/>
      <sheetData sheetId="2">
        <row r="17">
          <cell r="B17">
            <v>1</v>
          </cell>
          <cell r="C17">
            <v>2</v>
          </cell>
          <cell r="D17">
            <v>6</v>
          </cell>
          <cell r="H17">
            <v>5</v>
          </cell>
        </row>
        <row r="24">
          <cell r="M24">
            <v>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1_bullmonster"/>
      <sheetName val="4-1 10 City Distance Matrix"/>
      <sheetName val="4-2 22 City Distance_Matrix"/>
    </sheetNames>
    <sheetDataSet>
      <sheetData sheetId="0"/>
      <sheetData sheetId="1">
        <row r="16">
          <cell r="C16">
            <v>40</v>
          </cell>
        </row>
      </sheetData>
      <sheetData sheetId="2">
        <row r="15">
          <cell r="B15">
            <v>0</v>
          </cell>
        </row>
        <row r="16">
          <cell r="B16">
            <v>1</v>
          </cell>
        </row>
        <row r="17">
          <cell r="B17">
            <v>1</v>
          </cell>
        </row>
        <row r="18">
          <cell r="B18">
            <v>0</v>
          </cell>
        </row>
        <row r="19">
          <cell r="B19">
            <v>0</v>
          </cell>
        </row>
        <row r="20">
          <cell r="B20">
            <v>1</v>
          </cell>
        </row>
        <row r="21">
          <cell r="B21">
            <v>1</v>
          </cell>
        </row>
        <row r="22">
          <cell r="B22">
            <v>1</v>
          </cell>
        </row>
        <row r="23">
          <cell r="B23">
            <v>1</v>
          </cell>
        </row>
        <row r="24">
          <cell r="B24">
            <v>1</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swer guide"/>
      <sheetName val="1_sugar_refinement"/>
      <sheetName val="sugar_refinement_STS"/>
      <sheetName val="1_STS_1"/>
      <sheetName val="2_berries_hood"/>
      <sheetName val="2_ST_berries_one_way"/>
      <sheetName val="2_ST_berries_two_way"/>
      <sheetName val="3_eco_rentals"/>
      <sheetName val="4_rental_professionals"/>
      <sheetName val="4_STS_4"/>
      <sheetName val="5_week_2_challenge_linea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1_Print_Shop"/>
      <sheetName val="2_Wires_and_Rods"/>
      <sheetName val="3_Bulabow_Contract"/>
      <sheetName val="4_Cable_Manufacturing"/>
      <sheetName val="4_Cable_Manufacturing-validatio"/>
      <sheetName val="STS_1-validation"/>
      <sheetName val="Sheet1"/>
      <sheetName val="4_Cable_Manufacturing-v1"/>
    </sheetNames>
    <sheetDataSet>
      <sheetData sheetId="0" refreshError="1"/>
      <sheetData sheetId="1"/>
      <sheetData sheetId="2" refreshError="1"/>
      <sheetData sheetId="3"/>
      <sheetData sheetId="4"/>
      <sheetData sheetId="5"/>
      <sheetData sheetId="6" refreshError="1"/>
      <sheetData sheetId="7" refreshError="1"/>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swer guide"/>
      <sheetName val="1_greenleaf_organic"/>
      <sheetName val="2_nemo_question"/>
      <sheetName val="3_Flood_response"/>
      <sheetName val="4-1_pivot_bikes_answers"/>
      <sheetName val="4-2_pivot_bikes_model"/>
      <sheetName val="4-3_pivot_bikes_model -overflow"/>
      <sheetName val="4-4_pivot_bikes_alt"/>
      <sheetName val="4-_STS_1"/>
      <sheetName val="5_rare_earth_discussion"/>
    </sheetNames>
    <sheetDataSet>
      <sheetData sheetId="0" refreshError="1"/>
      <sheetData sheetId="1">
        <row r="10">
          <cell r="C10">
            <v>100000</v>
          </cell>
          <cell r="H10">
            <v>50000</v>
          </cell>
        </row>
        <row r="11">
          <cell r="C11">
            <v>80000</v>
          </cell>
        </row>
        <row r="12">
          <cell r="C12">
            <v>90000</v>
          </cell>
        </row>
        <row r="35">
          <cell r="C35">
            <v>250000</v>
          </cell>
        </row>
        <row r="36">
          <cell r="L36">
            <v>939500</v>
          </cell>
        </row>
        <row r="37">
          <cell r="C37">
            <v>224000</v>
          </cell>
          <cell r="L37">
            <v>929750</v>
          </cell>
        </row>
        <row r="39">
          <cell r="C39">
            <v>104000</v>
          </cell>
        </row>
        <row r="40">
          <cell r="L40">
            <v>15000</v>
          </cell>
        </row>
        <row r="41">
          <cell r="L41">
            <v>25000</v>
          </cell>
        </row>
      </sheetData>
      <sheetData sheetId="2">
        <row r="4">
          <cell r="B4">
            <v>10</v>
          </cell>
          <cell r="C4">
            <v>8</v>
          </cell>
          <cell r="D4">
            <v>9</v>
          </cell>
        </row>
        <row r="5">
          <cell r="E5">
            <v>15</v>
          </cell>
          <cell r="G5">
            <v>20</v>
          </cell>
        </row>
        <row r="6">
          <cell r="F6">
            <v>9</v>
          </cell>
          <cell r="G6">
            <v>12</v>
          </cell>
        </row>
        <row r="7">
          <cell r="E7">
            <v>18</v>
          </cell>
          <cell r="F7">
            <v>14</v>
          </cell>
          <cell r="G7">
            <v>19</v>
          </cell>
        </row>
        <row r="8">
          <cell r="H8">
            <v>20</v>
          </cell>
          <cell r="I8">
            <v>24</v>
          </cell>
        </row>
        <row r="9">
          <cell r="H9">
            <v>25</v>
          </cell>
          <cell r="I9">
            <v>29</v>
          </cell>
        </row>
        <row r="10">
          <cell r="H10">
            <v>30</v>
          </cell>
          <cell r="I10">
            <v>36</v>
          </cell>
        </row>
        <row r="11">
          <cell r="J11">
            <v>12</v>
          </cell>
        </row>
        <row r="12">
          <cell r="J12">
            <v>6</v>
          </cell>
        </row>
        <row r="23">
          <cell r="B23">
            <v>0</v>
          </cell>
          <cell r="C23">
            <v>0</v>
          </cell>
          <cell r="D23">
            <v>1</v>
          </cell>
        </row>
        <row r="24">
          <cell r="E24">
            <v>0</v>
          </cell>
          <cell r="G24">
            <v>0</v>
          </cell>
        </row>
        <row r="25">
          <cell r="F25">
            <v>0</v>
          </cell>
          <cell r="G25">
            <v>1</v>
          </cell>
        </row>
        <row r="26">
          <cell r="E26">
            <v>0</v>
          </cell>
          <cell r="F26">
            <v>0</v>
          </cell>
          <cell r="G26">
            <v>0</v>
          </cell>
        </row>
        <row r="27">
          <cell r="H27">
            <v>1</v>
          </cell>
          <cell r="I27">
            <v>0</v>
          </cell>
        </row>
        <row r="28">
          <cell r="H28">
            <v>0</v>
          </cell>
          <cell r="I28">
            <v>0</v>
          </cell>
        </row>
        <row r="29">
          <cell r="H29">
            <v>0</v>
          </cell>
          <cell r="I29">
            <v>0</v>
          </cell>
        </row>
        <row r="30">
          <cell r="J30">
            <v>1</v>
          </cell>
        </row>
        <row r="31">
          <cell r="J31">
            <v>0</v>
          </cell>
        </row>
      </sheetData>
      <sheetData sheetId="3">
        <row r="11">
          <cell r="A11" t="str">
            <v>Team 1</v>
          </cell>
          <cell r="B11" t="str">
            <v>Area 1</v>
          </cell>
          <cell r="C11">
            <v>8</v>
          </cell>
          <cell r="D11">
            <v>0</v>
          </cell>
        </row>
        <row r="12">
          <cell r="A12" t="str">
            <v>Team 1</v>
          </cell>
          <cell r="B12" t="str">
            <v>Area 2</v>
          </cell>
          <cell r="C12">
            <v>6</v>
          </cell>
          <cell r="D12">
            <v>0</v>
          </cell>
          <cell r="I12">
            <v>2</v>
          </cell>
        </row>
        <row r="13">
          <cell r="A13" t="str">
            <v>Team 1</v>
          </cell>
          <cell r="B13" t="str">
            <v>Area 3</v>
          </cell>
          <cell r="C13">
            <v>7</v>
          </cell>
          <cell r="D13">
            <v>2</v>
          </cell>
          <cell r="I13">
            <v>2</v>
          </cell>
        </row>
        <row r="14">
          <cell r="A14" t="str">
            <v>Team 2</v>
          </cell>
          <cell r="B14" t="str">
            <v>Area 1</v>
          </cell>
          <cell r="C14">
            <v>7</v>
          </cell>
          <cell r="D14">
            <v>0</v>
          </cell>
          <cell r="I14">
            <v>3</v>
          </cell>
        </row>
        <row r="15">
          <cell r="A15" t="str">
            <v>Team 2</v>
          </cell>
          <cell r="B15" t="str">
            <v>Area 2</v>
          </cell>
          <cell r="C15">
            <v>6</v>
          </cell>
          <cell r="D15">
            <v>2</v>
          </cell>
        </row>
        <row r="16">
          <cell r="A16" t="str">
            <v>Team 2</v>
          </cell>
          <cell r="B16" t="str">
            <v>Area 3</v>
          </cell>
          <cell r="C16">
            <v>10</v>
          </cell>
          <cell r="D16">
            <v>0</v>
          </cell>
        </row>
        <row r="17">
          <cell r="A17" t="str">
            <v>Team 3</v>
          </cell>
          <cell r="B17" t="str">
            <v>Area 1</v>
          </cell>
          <cell r="C17">
            <v>8</v>
          </cell>
          <cell r="D17">
            <v>2</v>
          </cell>
          <cell r="I17">
            <v>2</v>
          </cell>
        </row>
        <row r="18">
          <cell r="A18" t="str">
            <v>Team 3</v>
          </cell>
          <cell r="B18" t="str">
            <v>Area 2</v>
          </cell>
          <cell r="C18">
            <v>10</v>
          </cell>
          <cell r="D18">
            <v>0</v>
          </cell>
          <cell r="I18">
            <v>2</v>
          </cell>
        </row>
        <row r="19">
          <cell r="A19" t="str">
            <v>Team 3</v>
          </cell>
          <cell r="B19" t="str">
            <v>Area 3</v>
          </cell>
          <cell r="C19">
            <v>9</v>
          </cell>
          <cell r="D19">
            <v>1</v>
          </cell>
          <cell r="I19">
            <v>3</v>
          </cell>
        </row>
      </sheetData>
      <sheetData sheetId="4" refreshError="1"/>
      <sheetData sheetId="5">
        <row r="15">
          <cell r="X15">
            <v>55000</v>
          </cell>
        </row>
        <row r="16">
          <cell r="X16">
            <v>0</v>
          </cell>
        </row>
        <row r="17">
          <cell r="X17">
            <v>42000</v>
          </cell>
        </row>
        <row r="24">
          <cell r="L24">
            <v>97000</v>
          </cell>
        </row>
        <row r="26">
          <cell r="B26">
            <v>15000</v>
          </cell>
          <cell r="C26">
            <v>25000</v>
          </cell>
        </row>
        <row r="27">
          <cell r="B27">
            <v>20000</v>
          </cell>
          <cell r="C27">
            <v>25000</v>
          </cell>
        </row>
        <row r="28">
          <cell r="B28">
            <v>30000</v>
          </cell>
        </row>
        <row r="29">
          <cell r="B29">
            <v>5000</v>
          </cell>
          <cell r="C29">
            <v>9000</v>
          </cell>
        </row>
      </sheetData>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2)"/>
      <sheetName val="Intro"/>
      <sheetName val="1_Sugar_Refining_Co"/>
      <sheetName val="1_STS_Sugar"/>
      <sheetName val="2_berries_hood"/>
      <sheetName val="2_ST_berries_one_way"/>
      <sheetName val="2_ST_berries_two_way"/>
      <sheetName val="3_eco_rentals"/>
      <sheetName val="3_eco_rentals_STS_1"/>
      <sheetName val="4_rental_professionals"/>
      <sheetName val="4_STS_4"/>
      <sheetName val="4_Rental_of_CA"/>
      <sheetName val="4_STS_RentaL_CA"/>
    </sheetNames>
    <sheetDataSet>
      <sheetData sheetId="0"/>
      <sheetData sheetId="1"/>
      <sheetData sheetId="2">
        <row r="6">
          <cell r="B6">
            <v>3</v>
          </cell>
          <cell r="C6">
            <v>4.5</v>
          </cell>
          <cell r="D6">
            <v>0.2</v>
          </cell>
          <cell r="E6">
            <v>0.24</v>
          </cell>
          <cell r="F6">
            <v>23979.166015625</v>
          </cell>
          <cell r="G6">
            <v>6020.83349609375</v>
          </cell>
        </row>
        <row r="7">
          <cell r="B7">
            <v>5</v>
          </cell>
          <cell r="C7">
            <v>5.7</v>
          </cell>
          <cell r="D7">
            <v>0.3</v>
          </cell>
          <cell r="E7">
            <v>0.33</v>
          </cell>
          <cell r="F7">
            <v>0</v>
          </cell>
          <cell r="G7">
            <v>3500</v>
          </cell>
        </row>
        <row r="14">
          <cell r="B14">
            <v>71937.498046875</v>
          </cell>
        </row>
        <row r="15">
          <cell r="B15">
            <v>9531.0334960937507</v>
          </cell>
        </row>
        <row r="18">
          <cell r="E18">
            <v>30000</v>
          </cell>
        </row>
        <row r="19">
          <cell r="E19">
            <v>3500</v>
          </cell>
        </row>
        <row r="20">
          <cell r="E20">
            <v>5200</v>
          </cell>
        </row>
        <row r="21">
          <cell r="E21">
            <v>2600</v>
          </cell>
        </row>
      </sheetData>
      <sheetData sheetId="3"/>
      <sheetData sheetId="4">
        <row r="4">
          <cell r="B4">
            <v>2</v>
          </cell>
          <cell r="C4">
            <v>4</v>
          </cell>
          <cell r="D4">
            <v>5</v>
          </cell>
        </row>
        <row r="5">
          <cell r="B5">
            <v>20000</v>
          </cell>
          <cell r="C5">
            <v>10000</v>
          </cell>
          <cell r="D5">
            <v>2000</v>
          </cell>
        </row>
        <row r="8">
          <cell r="B8">
            <v>8.25</v>
          </cell>
          <cell r="F8">
            <v>2210.757568359375</v>
          </cell>
        </row>
        <row r="9">
          <cell r="B9">
            <v>1.32</v>
          </cell>
          <cell r="F9">
            <v>2000.212158203125</v>
          </cell>
        </row>
        <row r="10">
          <cell r="B10">
            <v>6.93</v>
          </cell>
          <cell r="F10">
            <v>0</v>
          </cell>
        </row>
        <row r="11">
          <cell r="B11">
            <v>17.420000000000002</v>
          </cell>
          <cell r="F11">
            <v>0</v>
          </cell>
        </row>
        <row r="12">
          <cell r="B12">
            <v>1.76</v>
          </cell>
          <cell r="F12">
            <v>7999.7880859375</v>
          </cell>
        </row>
        <row r="13">
          <cell r="B13">
            <v>15.660000000000002</v>
          </cell>
          <cell r="F13">
            <v>1999.9998779296875</v>
          </cell>
        </row>
        <row r="14">
          <cell r="B14">
            <v>0.73</v>
          </cell>
        </row>
        <row r="15">
          <cell r="B15">
            <v>0.22</v>
          </cell>
          <cell r="F15">
            <v>4210.9697265625</v>
          </cell>
          <cell r="I15">
            <v>2210.757568359375</v>
          </cell>
        </row>
        <row r="16">
          <cell r="B16">
            <v>0.51</v>
          </cell>
          <cell r="F16">
            <v>29182.020205078123</v>
          </cell>
          <cell r="I16">
            <v>10000.000244140625</v>
          </cell>
        </row>
        <row r="17">
          <cell r="I17">
            <v>1999.9998779296875</v>
          </cell>
        </row>
        <row r="18">
          <cell r="F18">
            <v>9999.7879638671875</v>
          </cell>
        </row>
        <row r="19">
          <cell r="F19">
            <v>156596.67951416018</v>
          </cell>
        </row>
        <row r="21">
          <cell r="F21">
            <v>17789.242309570313</v>
          </cell>
        </row>
        <row r="22">
          <cell r="F22">
            <v>9072.5135778808599</v>
          </cell>
        </row>
      </sheetData>
      <sheetData sheetId="5"/>
      <sheetData sheetId="6"/>
      <sheetData sheetId="7">
        <row r="18">
          <cell r="D18">
            <v>400</v>
          </cell>
          <cell r="H18">
            <v>0</v>
          </cell>
        </row>
        <row r="19">
          <cell r="D19">
            <v>700</v>
          </cell>
          <cell r="H19">
            <v>200</v>
          </cell>
        </row>
        <row r="20">
          <cell r="D20">
            <v>500</v>
          </cell>
          <cell r="H20">
            <v>0</v>
          </cell>
        </row>
        <row r="21">
          <cell r="D21">
            <v>200</v>
          </cell>
          <cell r="H21">
            <v>0</v>
          </cell>
        </row>
      </sheetData>
      <sheetData sheetId="8"/>
      <sheetData sheetId="9"/>
      <sheetData sheetId="10"/>
      <sheetData sheetId="11">
        <row r="4">
          <cell r="C4">
            <v>5400</v>
          </cell>
          <cell r="K4">
            <v>10</v>
          </cell>
        </row>
        <row r="5">
          <cell r="C5">
            <v>5400</v>
          </cell>
          <cell r="K5">
            <v>10</v>
          </cell>
        </row>
        <row r="6">
          <cell r="C6">
            <v>5400</v>
          </cell>
          <cell r="K6">
            <v>10</v>
          </cell>
        </row>
        <row r="7">
          <cell r="C7">
            <v>5400</v>
          </cell>
          <cell r="K7">
            <v>10</v>
          </cell>
        </row>
        <row r="8">
          <cell r="C8">
            <v>5400</v>
          </cell>
          <cell r="K8">
            <v>10</v>
          </cell>
        </row>
        <row r="9">
          <cell r="C9">
            <v>5400</v>
          </cell>
          <cell r="K9">
            <v>15</v>
          </cell>
        </row>
        <row r="10">
          <cell r="C10">
            <v>5400</v>
          </cell>
          <cell r="K10">
            <v>25</v>
          </cell>
        </row>
        <row r="11">
          <cell r="C11">
            <v>5400</v>
          </cell>
          <cell r="K11">
            <v>25</v>
          </cell>
        </row>
        <row r="12">
          <cell r="C12">
            <v>5400</v>
          </cell>
          <cell r="K12">
            <v>15</v>
          </cell>
        </row>
        <row r="13">
          <cell r="C13">
            <v>5400</v>
          </cell>
          <cell r="K13">
            <v>15</v>
          </cell>
        </row>
        <row r="14">
          <cell r="C14">
            <v>5400</v>
          </cell>
          <cell r="K14">
            <v>10</v>
          </cell>
        </row>
        <row r="17">
          <cell r="B17">
            <v>10</v>
          </cell>
        </row>
        <row r="18">
          <cell r="B18">
            <v>0</v>
          </cell>
        </row>
        <row r="19">
          <cell r="B19">
            <v>0</v>
          </cell>
        </row>
        <row r="20">
          <cell r="B20">
            <v>5</v>
          </cell>
        </row>
        <row r="21">
          <cell r="B21">
            <v>10</v>
          </cell>
        </row>
      </sheetData>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_Shop"/>
      <sheetName val="Wires_n_Rods"/>
      <sheetName val="STS_Wire"/>
      <sheetName val="Contract_Clothing"/>
      <sheetName val="STS_Clothing"/>
      <sheetName val="Cable_Manufacturing_STS"/>
      <sheetName val="Wires_n_Rods_STS"/>
      <sheetName val="Contract_Clothing_STS"/>
      <sheetName val="STS_1"/>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gar_Refining_Co"/>
      <sheetName val="STS_Sugar"/>
      <sheetName val="Hood_Strawberries"/>
      <sheetName val="STS_Strawberries"/>
      <sheetName val="Eco_Rental"/>
      <sheetName val="Rental_of_CA"/>
      <sheetName val="Rental_of_CA_STS"/>
      <sheetName val="Sugar_Refining_Co_STS"/>
      <sheetName val="STS_Rental"/>
      <sheetName val="Hood_Strawberries_STS"/>
      <sheetName val="STS_RentaL_C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_bikes_answers"/>
      <sheetName val="pivot_bikes_model"/>
      <sheetName val="pivot_bikes_model -overflow"/>
      <sheetName val="pivot_bikes_model -overflow alt"/>
      <sheetName val="pivot_bikes_model_STS"/>
      <sheetName val="STS_1"/>
    </sheetNames>
    <sheetDataSet>
      <sheetData sheetId="0"/>
      <sheetData sheetId="1">
        <row r="15">
          <cell r="B15">
            <v>55000</v>
          </cell>
        </row>
        <row r="16">
          <cell r="B16">
            <v>42000</v>
          </cell>
        </row>
        <row r="18">
          <cell r="B18">
            <v>60000</v>
          </cell>
        </row>
        <row r="19">
          <cell r="B19">
            <v>50000</v>
          </cell>
        </row>
        <row r="21">
          <cell r="D21">
            <v>50000</v>
          </cell>
          <cell r="F21">
            <v>1.25</v>
          </cell>
          <cell r="L21">
            <v>25888.888888888887</v>
          </cell>
        </row>
        <row r="22">
          <cell r="D22">
            <v>40000</v>
          </cell>
          <cell r="F22">
            <v>0.75</v>
          </cell>
          <cell r="L22">
            <v>53333.333333333336</v>
          </cell>
        </row>
        <row r="23">
          <cell r="D23">
            <v>40000</v>
          </cell>
          <cell r="F23">
            <v>2.25</v>
          </cell>
          <cell r="L23">
            <v>17777.777777777777</v>
          </cell>
        </row>
        <row r="26">
          <cell r="D26">
            <v>4000</v>
          </cell>
        </row>
        <row r="27">
          <cell r="D27">
            <v>3750</v>
          </cell>
        </row>
        <row r="28">
          <cell r="D28">
            <v>3100</v>
          </cell>
        </row>
        <row r="29">
          <cell r="D29">
            <v>4500</v>
          </cell>
        </row>
      </sheetData>
      <sheetData sheetId="2">
        <row r="32">
          <cell r="F32">
            <v>65</v>
          </cell>
          <cell r="G32">
            <v>60</v>
          </cell>
        </row>
        <row r="33">
          <cell r="E33">
            <v>77</v>
          </cell>
          <cell r="G33">
            <v>55</v>
          </cell>
        </row>
        <row r="34">
          <cell r="E34">
            <v>58</v>
          </cell>
          <cell r="F34">
            <v>43</v>
          </cell>
        </row>
      </sheetData>
      <sheetData sheetId="3"/>
      <sheetData sheetId="4"/>
      <sheetData sheetId="5">
        <row r="1">
          <cell r="K1" t="str">
            <v>Sensitivity of profit_net to Input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swer guide"/>
      <sheetName val="1_bullmonster"/>
      <sheetName val="2_tygrim_farms"/>
      <sheetName val="3 - very_veggies - best answer"/>
      <sheetName val="3 - very_veggies - linear"/>
      <sheetName val="4-1 10 City Distance Matrix"/>
      <sheetName val="4-2 22 City Distance_Matrix"/>
      <sheetName val="5_Challenge - Eighth Method"/>
    </sheetNames>
    <sheetDataSet>
      <sheetData sheetId="0" refreshError="1"/>
      <sheetData sheetId="1">
        <row r="16">
          <cell r="C16">
            <v>40</v>
          </cell>
          <cell r="D16">
            <v>45</v>
          </cell>
          <cell r="E16">
            <v>55</v>
          </cell>
          <cell r="F16">
            <v>35</v>
          </cell>
          <cell r="G16">
            <v>65</v>
          </cell>
        </row>
        <row r="20">
          <cell r="E20">
            <v>500</v>
          </cell>
          <cell r="N20">
            <v>500</v>
          </cell>
        </row>
        <row r="21">
          <cell r="B21">
            <v>0.2</v>
          </cell>
          <cell r="E21">
            <v>0</v>
          </cell>
          <cell r="N21">
            <v>500</v>
          </cell>
        </row>
        <row r="22">
          <cell r="B22">
            <v>0.3</v>
          </cell>
          <cell r="E22">
            <v>0</v>
          </cell>
          <cell r="N22">
            <v>500</v>
          </cell>
        </row>
        <row r="23">
          <cell r="B23">
            <v>0.35</v>
          </cell>
          <cell r="E23">
            <v>499.99999999999994</v>
          </cell>
          <cell r="N23">
            <v>500</v>
          </cell>
        </row>
        <row r="24">
          <cell r="B24">
            <v>0.4</v>
          </cell>
          <cell r="E24">
            <v>24.999999999999957</v>
          </cell>
          <cell r="N24">
            <v>500</v>
          </cell>
        </row>
        <row r="25">
          <cell r="B25">
            <v>0.5</v>
          </cell>
          <cell r="E25">
            <v>0</v>
          </cell>
          <cell r="N25">
            <v>500</v>
          </cell>
        </row>
        <row r="26">
          <cell r="B26">
            <v>0.35</v>
          </cell>
          <cell r="E26">
            <v>0</v>
          </cell>
          <cell r="N26">
            <v>500</v>
          </cell>
        </row>
        <row r="27">
          <cell r="B27">
            <v>0.35</v>
          </cell>
        </row>
        <row r="29">
          <cell r="H29">
            <v>40</v>
          </cell>
          <cell r="I29">
            <v>45</v>
          </cell>
          <cell r="J29">
            <v>55</v>
          </cell>
          <cell r="K29">
            <v>35</v>
          </cell>
          <cell r="L29">
            <v>65</v>
          </cell>
        </row>
        <row r="32">
          <cell r="N32">
            <v>1000</v>
          </cell>
        </row>
        <row r="33">
          <cell r="N33">
            <v>0</v>
          </cell>
        </row>
      </sheetData>
      <sheetData sheetId="2">
        <row r="5">
          <cell r="L5">
            <v>1</v>
          </cell>
          <cell r="M5">
            <v>43400</v>
          </cell>
        </row>
        <row r="6">
          <cell r="L6">
            <v>0</v>
          </cell>
          <cell r="M6">
            <v>0</v>
          </cell>
        </row>
        <row r="7">
          <cell r="L7">
            <v>1</v>
          </cell>
          <cell r="M7">
            <v>43400</v>
          </cell>
        </row>
        <row r="8">
          <cell r="L8">
            <v>0</v>
          </cell>
          <cell r="M8">
            <v>0</v>
          </cell>
        </row>
        <row r="12">
          <cell r="G12">
            <v>43400</v>
          </cell>
        </row>
        <row r="14">
          <cell r="C14">
            <v>7500</v>
          </cell>
          <cell r="D14">
            <v>7199.9999999999991</v>
          </cell>
          <cell r="E14">
            <v>7000</v>
          </cell>
        </row>
        <row r="18">
          <cell r="C18">
            <v>400000</v>
          </cell>
        </row>
        <row r="19">
          <cell r="C19">
            <v>350000</v>
          </cell>
        </row>
        <row r="20">
          <cell r="C20">
            <v>420000</v>
          </cell>
        </row>
        <row r="21">
          <cell r="C21">
            <v>320000</v>
          </cell>
        </row>
        <row r="23">
          <cell r="H23">
            <v>611000</v>
          </cell>
        </row>
        <row r="30">
          <cell r="H30">
            <v>820000</v>
          </cell>
        </row>
      </sheetData>
      <sheetData sheetId="3" refreshError="1"/>
      <sheetData sheetId="4" refreshError="1"/>
      <sheetData sheetId="5" refreshError="1"/>
      <sheetData sheetId="6" refreshError="1"/>
      <sheetData sheetId="7">
        <row r="6">
          <cell r="G6">
            <v>1500000</v>
          </cell>
          <cell r="R6">
            <v>125000.00000001219</v>
          </cell>
        </row>
        <row r="7">
          <cell r="G7">
            <v>1000000</v>
          </cell>
          <cell r="R7">
            <v>999999.99999999988</v>
          </cell>
        </row>
        <row r="8">
          <cell r="G8">
            <v>1000000</v>
          </cell>
          <cell r="R8">
            <v>1000000</v>
          </cell>
        </row>
        <row r="9">
          <cell r="O9">
            <v>599999.9971906204</v>
          </cell>
          <cell r="P9">
            <v>1125000</v>
          </cell>
          <cell r="Q9">
            <v>400000.00280939159</v>
          </cell>
        </row>
        <row r="19">
          <cell r="T19">
            <v>599999.99719062925</v>
          </cell>
        </row>
        <row r="20">
          <cell r="T20">
            <v>1125000</v>
          </cell>
        </row>
        <row r="21">
          <cell r="T21">
            <v>400000.00280939159</v>
          </cell>
        </row>
        <row r="22">
          <cell r="C22">
            <v>325000</v>
          </cell>
          <cell r="D22">
            <v>600000</v>
          </cell>
          <cell r="E22">
            <v>200000</v>
          </cell>
          <cell r="F22">
            <v>1000000</v>
          </cell>
          <cell r="AA22">
            <v>194499996.90743008</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CABAE6-4377-4C01-8EAE-8148957F6B21}" name="Table1" displayName="Table1" ref="A3:C6" totalsRowShown="0" headerRowDxfId="6" headerRowBorderDxfId="5" tableBorderDxfId="4" totalsRowBorderDxfId="3">
  <autoFilter ref="A3:C6" xr:uid="{CE243A07-1E6A-4342-9F3E-B266EC30EAF8}"/>
  <tableColumns count="3">
    <tableColumn id="1" xr3:uid="{1D1B5925-C6E0-4798-8AA3-0367E3F1379C}" name="Problem" dataDxfId="2"/>
    <tableColumn id="2" xr3:uid="{1C152700-15C1-4FEE-9E84-11D64A48BC26}" name="Name" dataDxfId="1"/>
    <tableColumn id="3" xr3:uid="{DA57BC0F-0C1B-425E-AFDD-8BADA88F84AE}" name="Description"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71822-9D41-4C79-B5C4-CD1A25925EC8}">
  <sheetPr>
    <pageSetUpPr fitToPage="1"/>
  </sheetPr>
  <dimension ref="A1:C6"/>
  <sheetViews>
    <sheetView tabSelected="1" workbookViewId="0">
      <selection sqref="A1:C1"/>
    </sheetView>
  </sheetViews>
  <sheetFormatPr defaultRowHeight="14.4" x14ac:dyDescent="0.3"/>
  <cols>
    <col min="1" max="1" width="13.6640625" customWidth="1"/>
    <col min="2" max="2" width="23.21875" customWidth="1"/>
    <col min="3" max="3" width="76.21875" customWidth="1"/>
  </cols>
  <sheetData>
    <row r="1" spans="1:3" ht="37.799999999999997" customHeight="1" x14ac:dyDescent="0.3">
      <c r="A1" s="48" t="s">
        <v>206</v>
      </c>
      <c r="B1" s="48"/>
      <c r="C1" s="48"/>
    </row>
    <row r="2" spans="1:3" x14ac:dyDescent="0.3">
      <c r="A2" s="49" t="s">
        <v>207</v>
      </c>
      <c r="B2" s="49"/>
      <c r="C2" s="49"/>
    </row>
    <row r="3" spans="1:3" x14ac:dyDescent="0.3">
      <c r="A3" s="1" t="s">
        <v>0</v>
      </c>
      <c r="B3" s="2" t="s">
        <v>1</v>
      </c>
      <c r="C3" s="3" t="s">
        <v>163</v>
      </c>
    </row>
    <row r="4" spans="1:3" x14ac:dyDescent="0.3">
      <c r="A4" s="4">
        <v>1</v>
      </c>
      <c r="B4" s="5" t="s">
        <v>209</v>
      </c>
      <c r="C4" s="6" t="s">
        <v>208</v>
      </c>
    </row>
    <row r="5" spans="1:3" x14ac:dyDescent="0.3">
      <c r="A5" s="4">
        <v>2</v>
      </c>
      <c r="B5" s="5" t="s">
        <v>210</v>
      </c>
      <c r="C5" s="6" t="s">
        <v>211</v>
      </c>
    </row>
    <row r="6" spans="1:3" x14ac:dyDescent="0.3">
      <c r="A6" s="4">
        <v>3</v>
      </c>
      <c r="B6" s="5" t="s">
        <v>212</v>
      </c>
      <c r="C6" s="6" t="s">
        <v>213</v>
      </c>
    </row>
  </sheetData>
  <mergeCells count="2">
    <mergeCell ref="A1:C1"/>
    <mergeCell ref="A2:C2"/>
  </mergeCells>
  <pageMargins left="0.7" right="0.7" top="0.75" bottom="0.75" header="0.3" footer="0.3"/>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5DA93-7DA9-4BEF-97C6-8A0A68C13274}">
  <sheetPr>
    <pageSetUpPr fitToPage="1"/>
  </sheetPr>
  <dimension ref="B1:H41"/>
  <sheetViews>
    <sheetView workbookViewId="0">
      <selection activeCell="B1" sqref="B1"/>
    </sheetView>
  </sheetViews>
  <sheetFormatPr defaultRowHeight="14.4" x14ac:dyDescent="0.3"/>
  <cols>
    <col min="2" max="2" width="21.5546875" customWidth="1"/>
    <col min="3" max="3" width="15.88671875" bestFit="1" customWidth="1"/>
    <col min="8" max="8" width="11.109375" bestFit="1" customWidth="1"/>
  </cols>
  <sheetData>
    <row r="1" spans="2:3" x14ac:dyDescent="0.3">
      <c r="B1" t="s">
        <v>32</v>
      </c>
    </row>
    <row r="2" spans="2:3" x14ac:dyDescent="0.3">
      <c r="B2" s="7" t="s">
        <v>33</v>
      </c>
      <c r="C2" s="19">
        <v>165000</v>
      </c>
    </row>
    <row r="3" spans="2:3" x14ac:dyDescent="0.3">
      <c r="B3" s="7" t="s">
        <v>34</v>
      </c>
      <c r="C3" s="19">
        <v>750000</v>
      </c>
    </row>
    <row r="4" spans="2:3" x14ac:dyDescent="0.3">
      <c r="B4" s="7" t="s">
        <v>35</v>
      </c>
      <c r="C4" s="20">
        <v>2.02</v>
      </c>
    </row>
    <row r="6" spans="2:3" x14ac:dyDescent="0.3">
      <c r="B6" s="7" t="s">
        <v>36</v>
      </c>
      <c r="C6" s="7"/>
    </row>
    <row r="7" spans="2:3" x14ac:dyDescent="0.3">
      <c r="B7" s="7" t="s">
        <v>37</v>
      </c>
      <c r="C7" s="21">
        <v>8325000</v>
      </c>
    </row>
    <row r="9" spans="2:3" x14ac:dyDescent="0.3">
      <c r="B9" s="7" t="s">
        <v>38</v>
      </c>
      <c r="C9" s="21">
        <v>31800</v>
      </c>
    </row>
    <row r="11" spans="2:3" x14ac:dyDescent="0.3">
      <c r="B11" s="7" t="s">
        <v>39</v>
      </c>
      <c r="C11" s="22">
        <v>138.99485388699082</v>
      </c>
    </row>
    <row r="13" spans="2:3" x14ac:dyDescent="0.3">
      <c r="B13" s="23" t="s">
        <v>40</v>
      </c>
      <c r="C13" s="23">
        <f>SQRT(Area_served__A/Warehouses__n)</f>
        <v>15.125655311512492</v>
      </c>
    </row>
    <row r="14" spans="2:3" x14ac:dyDescent="0.3">
      <c r="B14" s="23" t="s">
        <v>41</v>
      </c>
      <c r="C14" s="23">
        <f>Average_distance_between_customers*Shipping_cost_order___mile</f>
        <v>30.553823729255235</v>
      </c>
    </row>
    <row r="15" spans="2:3" x14ac:dyDescent="0.3">
      <c r="B15" s="7" t="s">
        <v>42</v>
      </c>
      <c r="C15" s="8">
        <f>C14*Orders_per_year</f>
        <v>254360582.54604983</v>
      </c>
    </row>
    <row r="16" spans="2:3" x14ac:dyDescent="0.3">
      <c r="B16" s="7" t="s">
        <v>43</v>
      </c>
      <c r="C16" s="7">
        <f>Warehouses__n</f>
        <v>138.99485388699082</v>
      </c>
    </row>
    <row r="17" spans="2:8" x14ac:dyDescent="0.3">
      <c r="B17" s="7" t="s">
        <v>44</v>
      </c>
      <c r="C17" s="8">
        <f>C16*Construction_cost_warehouse</f>
        <v>104246140.41524312</v>
      </c>
    </row>
    <row r="18" spans="2:8" x14ac:dyDescent="0.3">
      <c r="B18" s="7" t="s">
        <v>45</v>
      </c>
      <c r="C18" s="8">
        <f>Maintenance_cost_per_warehouse*Warehouses__n*C19</f>
        <v>22934150.891353484</v>
      </c>
    </row>
    <row r="19" spans="2:8" x14ac:dyDescent="0.3">
      <c r="B19" s="7" t="s">
        <v>46</v>
      </c>
      <c r="C19" s="7">
        <v>1</v>
      </c>
      <c r="D19" t="s">
        <v>47</v>
      </c>
    </row>
    <row r="21" spans="2:8" x14ac:dyDescent="0.3">
      <c r="B21" s="7" t="s">
        <v>32</v>
      </c>
      <c r="C21" s="24">
        <f>C15+Warehouse_construction_cost+Warehouse_maintenance_cost</f>
        <v>381540873.85264647</v>
      </c>
      <c r="D21" s="25" t="s">
        <v>48</v>
      </c>
    </row>
    <row r="22" spans="2:8" x14ac:dyDescent="0.3">
      <c r="G22" s="7" t="s">
        <v>31</v>
      </c>
      <c r="H22" s="7" t="s">
        <v>49</v>
      </c>
    </row>
    <row r="23" spans="2:8" x14ac:dyDescent="0.3">
      <c r="G23" s="7">
        <v>0</v>
      </c>
      <c r="H23" s="7" t="s">
        <v>50</v>
      </c>
    </row>
    <row r="24" spans="2:8" x14ac:dyDescent="0.3">
      <c r="G24" s="7">
        <v>1</v>
      </c>
      <c r="H24" s="26">
        <v>381540874</v>
      </c>
    </row>
    <row r="25" spans="2:8" x14ac:dyDescent="0.3">
      <c r="G25" s="7">
        <v>5</v>
      </c>
      <c r="H25" s="26">
        <v>381540874</v>
      </c>
    </row>
    <row r="26" spans="2:8" x14ac:dyDescent="0.3">
      <c r="G26" s="7">
        <v>10</v>
      </c>
      <c r="H26" s="26">
        <v>381540874</v>
      </c>
    </row>
    <row r="27" spans="2:8" x14ac:dyDescent="0.3">
      <c r="G27" s="7">
        <v>50</v>
      </c>
      <c r="H27" s="26">
        <v>381540874</v>
      </c>
    </row>
    <row r="28" spans="2:8" x14ac:dyDescent="0.3">
      <c r="G28" s="7">
        <v>100</v>
      </c>
      <c r="H28" s="26">
        <v>381540874</v>
      </c>
    </row>
    <row r="29" spans="2:8" x14ac:dyDescent="0.3">
      <c r="G29" s="7">
        <v>500</v>
      </c>
      <c r="H29" s="7" t="s">
        <v>50</v>
      </c>
    </row>
    <row r="31" spans="2:8" x14ac:dyDescent="0.3">
      <c r="G31" t="s">
        <v>51</v>
      </c>
      <c r="H31" t="s">
        <v>52</v>
      </c>
    </row>
    <row r="32" spans="2:8" x14ac:dyDescent="0.3">
      <c r="G32" t="s">
        <v>53</v>
      </c>
      <c r="H32" t="s">
        <v>54</v>
      </c>
    </row>
    <row r="33" spans="7:8" x14ac:dyDescent="0.3">
      <c r="G33" t="s">
        <v>55</v>
      </c>
      <c r="H33" t="s">
        <v>56</v>
      </c>
    </row>
    <row r="34" spans="7:8" x14ac:dyDescent="0.3">
      <c r="G34" t="s">
        <v>32</v>
      </c>
      <c r="H34" t="s">
        <v>57</v>
      </c>
    </row>
    <row r="35" spans="7:8" x14ac:dyDescent="0.3">
      <c r="G35" t="s">
        <v>58</v>
      </c>
      <c r="H35" t="s">
        <v>59</v>
      </c>
    </row>
    <row r="36" spans="7:8" x14ac:dyDescent="0.3">
      <c r="G36" t="s">
        <v>60</v>
      </c>
      <c r="H36" t="s">
        <v>61</v>
      </c>
    </row>
    <row r="37" spans="7:8" x14ac:dyDescent="0.3">
      <c r="G37" t="s">
        <v>62</v>
      </c>
      <c r="H37" t="s">
        <v>63</v>
      </c>
    </row>
    <row r="38" spans="7:8" x14ac:dyDescent="0.3">
      <c r="G38" t="s">
        <v>64</v>
      </c>
      <c r="H38" t="s">
        <v>65</v>
      </c>
    </row>
    <row r="39" spans="7:8" x14ac:dyDescent="0.3">
      <c r="G39" t="s">
        <v>66</v>
      </c>
      <c r="H39" t="s">
        <v>67</v>
      </c>
    </row>
    <row r="40" spans="7:8" x14ac:dyDescent="0.3">
      <c r="G40" t="s">
        <v>68</v>
      </c>
      <c r="H40" t="s">
        <v>69</v>
      </c>
    </row>
    <row r="41" spans="7:8" x14ac:dyDescent="0.3">
      <c r="G41" t="s">
        <v>46</v>
      </c>
      <c r="H41" t="s">
        <v>70</v>
      </c>
    </row>
  </sheetData>
  <pageMargins left="0.7" right="0.7" top="0.75" bottom="0.75" header="0.3" footer="0.3"/>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E44E-5A05-463E-AB08-7EEF969FCCB2}">
  <sheetPr>
    <pageSetUpPr fitToPage="1"/>
  </sheetPr>
  <dimension ref="B2:K95"/>
  <sheetViews>
    <sheetView zoomScale="80" zoomScaleNormal="80" workbookViewId="0">
      <selection activeCell="B1" sqref="B1"/>
    </sheetView>
  </sheetViews>
  <sheetFormatPr defaultRowHeight="14.4" x14ac:dyDescent="0.3"/>
  <cols>
    <col min="2" max="2" width="37" customWidth="1"/>
    <col min="3" max="3" width="48.77734375" customWidth="1"/>
    <col min="4" max="4" width="21" customWidth="1"/>
    <col min="5" max="5" width="31.21875" bestFit="1" customWidth="1"/>
    <col min="6" max="6" width="30.109375" bestFit="1" customWidth="1"/>
    <col min="7" max="7" width="12.77734375" customWidth="1"/>
    <col min="8" max="8" width="26.6640625" customWidth="1"/>
    <col min="9" max="9" width="28.5546875" customWidth="1"/>
    <col min="10" max="10" width="31.21875" customWidth="1"/>
    <col min="11" max="11" width="11" customWidth="1"/>
  </cols>
  <sheetData>
    <row r="2" spans="2:11" x14ac:dyDescent="0.3">
      <c r="B2" s="52" t="s">
        <v>71</v>
      </c>
      <c r="C2" s="53"/>
      <c r="D2" s="53"/>
      <c r="E2" s="53"/>
      <c r="F2" s="53"/>
      <c r="G2" s="53"/>
      <c r="H2" s="53"/>
    </row>
    <row r="3" spans="2:11" x14ac:dyDescent="0.3">
      <c r="B3" s="54" t="s">
        <v>72</v>
      </c>
      <c r="C3" s="55"/>
      <c r="D3" s="56"/>
      <c r="E3" s="57" t="s">
        <v>73</v>
      </c>
      <c r="F3" s="58"/>
      <c r="G3" s="58"/>
      <c r="H3" s="59"/>
      <c r="I3" s="7"/>
      <c r="J3" s="60" t="s">
        <v>74</v>
      </c>
      <c r="K3" s="61"/>
    </row>
    <row r="4" spans="2:11" ht="29.4" thickBot="1" x14ac:dyDescent="0.35">
      <c r="B4" s="7"/>
      <c r="C4" s="7" t="s">
        <v>30</v>
      </c>
      <c r="D4" s="7" t="s">
        <v>49</v>
      </c>
      <c r="E4" s="27" t="s">
        <v>75</v>
      </c>
      <c r="F4" s="7"/>
      <c r="G4" s="7" t="s">
        <v>30</v>
      </c>
      <c r="H4" s="7" t="s">
        <v>49</v>
      </c>
      <c r="I4" s="7"/>
      <c r="J4" s="7" t="s">
        <v>76</v>
      </c>
      <c r="K4" s="11">
        <v>250</v>
      </c>
    </row>
    <row r="5" spans="2:11" ht="15.6" thickTop="1" thickBot="1" x14ac:dyDescent="0.35">
      <c r="B5" s="7" t="s">
        <v>77</v>
      </c>
      <c r="C5" s="11">
        <v>0.65</v>
      </c>
      <c r="D5" s="28" t="s">
        <v>78</v>
      </c>
      <c r="E5" s="29" t="s">
        <v>79</v>
      </c>
      <c r="F5" s="30" t="s">
        <v>80</v>
      </c>
      <c r="G5" s="11">
        <v>0.7</v>
      </c>
      <c r="H5" s="31" t="s">
        <v>81</v>
      </c>
      <c r="I5" s="7"/>
      <c r="J5" s="7" t="s">
        <v>82</v>
      </c>
      <c r="K5" s="11">
        <v>0.97</v>
      </c>
    </row>
    <row r="6" spans="2:11" ht="15.6" thickTop="1" thickBot="1" x14ac:dyDescent="0.35">
      <c r="B6" s="7" t="s">
        <v>83</v>
      </c>
      <c r="C6" s="11">
        <v>0.15</v>
      </c>
      <c r="D6" s="32" t="s">
        <v>84</v>
      </c>
      <c r="E6" s="7"/>
      <c r="F6" s="30" t="s">
        <v>85</v>
      </c>
      <c r="G6" s="11">
        <v>0.3</v>
      </c>
      <c r="H6" s="32" t="s">
        <v>84</v>
      </c>
      <c r="I6" s="7"/>
      <c r="J6" s="7" t="s">
        <v>86</v>
      </c>
      <c r="K6" s="11">
        <v>0.13</v>
      </c>
    </row>
    <row r="7" spans="2:11" ht="15" thickTop="1" x14ac:dyDescent="0.3">
      <c r="B7" s="7" t="s">
        <v>87</v>
      </c>
      <c r="C7" s="11">
        <v>0.2</v>
      </c>
      <c r="D7" s="32" t="s">
        <v>84</v>
      </c>
      <c r="E7" s="7"/>
      <c r="F7" s="7"/>
      <c r="G7" s="7"/>
      <c r="H7" s="7"/>
      <c r="I7" s="7"/>
      <c r="J7" s="7"/>
      <c r="K7" s="7"/>
    </row>
    <row r="9" spans="2:11" ht="15" thickBot="1" x14ac:dyDescent="0.35">
      <c r="G9" s="33"/>
      <c r="H9" s="33"/>
      <c r="I9" s="33"/>
      <c r="J9" s="33"/>
    </row>
    <row r="10" spans="2:11" x14ac:dyDescent="0.3">
      <c r="G10" s="34"/>
      <c r="H10" s="35"/>
      <c r="I10" s="35"/>
      <c r="J10" s="35"/>
    </row>
    <row r="11" spans="2:11" x14ac:dyDescent="0.3">
      <c r="B11" s="62" t="s">
        <v>88</v>
      </c>
      <c r="C11" s="63"/>
      <c r="D11" s="63"/>
      <c r="E11" s="64"/>
      <c r="G11" s="36"/>
      <c r="H11" s="65" t="s">
        <v>89</v>
      </c>
      <c r="I11" s="66"/>
      <c r="J11" s="67"/>
    </row>
    <row r="12" spans="2:11" x14ac:dyDescent="0.3">
      <c r="B12" s="7"/>
      <c r="C12" s="7" t="s">
        <v>90</v>
      </c>
      <c r="D12" s="7" t="s">
        <v>91</v>
      </c>
      <c r="E12" s="7" t="s">
        <v>92</v>
      </c>
      <c r="G12" s="37" t="s">
        <v>93</v>
      </c>
      <c r="H12" s="37" t="s">
        <v>94</v>
      </c>
      <c r="I12" s="7"/>
      <c r="J12" s="37" t="s">
        <v>95</v>
      </c>
    </row>
    <row r="13" spans="2:11" x14ac:dyDescent="0.3">
      <c r="B13" s="7" t="s">
        <v>96</v>
      </c>
      <c r="C13" s="11">
        <v>50</v>
      </c>
      <c r="D13" s="11">
        <v>5</v>
      </c>
      <c r="E13" s="11">
        <v>0</v>
      </c>
      <c r="G13" s="7">
        <v>1</v>
      </c>
      <c r="H13" s="7" t="s">
        <v>97</v>
      </c>
      <c r="I13" s="7"/>
      <c r="J13" s="7" t="s">
        <v>98</v>
      </c>
    </row>
    <row r="14" spans="2:11" x14ac:dyDescent="0.3">
      <c r="B14" s="7" t="s">
        <v>99</v>
      </c>
      <c r="C14" s="11">
        <v>225</v>
      </c>
      <c r="D14" s="11">
        <v>100</v>
      </c>
      <c r="E14" s="11">
        <v>80</v>
      </c>
      <c r="G14" s="7">
        <v>2</v>
      </c>
      <c r="H14" s="7" t="s">
        <v>100</v>
      </c>
      <c r="I14" s="7"/>
      <c r="J14" s="7" t="s">
        <v>101</v>
      </c>
    </row>
    <row r="15" spans="2:11" x14ac:dyDescent="0.3">
      <c r="B15" s="7" t="s">
        <v>102</v>
      </c>
      <c r="C15" s="11">
        <v>225</v>
      </c>
      <c r="D15" s="11">
        <v>300</v>
      </c>
      <c r="E15" s="11">
        <v>250</v>
      </c>
      <c r="G15" s="7">
        <v>3</v>
      </c>
      <c r="H15" s="7" t="s">
        <v>103</v>
      </c>
      <c r="I15" s="7"/>
      <c r="J15" s="7" t="s">
        <v>104</v>
      </c>
    </row>
    <row r="16" spans="2:11" x14ac:dyDescent="0.3">
      <c r="G16" s="7">
        <v>4</v>
      </c>
      <c r="H16" s="7" t="s">
        <v>105</v>
      </c>
      <c r="I16" s="7"/>
      <c r="J16" s="7" t="s">
        <v>106</v>
      </c>
    </row>
    <row r="17" spans="2:10" ht="15" thickBot="1" x14ac:dyDescent="0.35">
      <c r="G17" s="38"/>
      <c r="H17" s="39"/>
      <c r="I17" s="39"/>
      <c r="J17" s="39"/>
    </row>
    <row r="18" spans="2:10" x14ac:dyDescent="0.3">
      <c r="B18" s="62" t="s">
        <v>107</v>
      </c>
      <c r="C18" s="63"/>
      <c r="D18" s="63"/>
    </row>
    <row r="19" spans="2:10" x14ac:dyDescent="0.3">
      <c r="B19" s="7" t="s">
        <v>14</v>
      </c>
      <c r="C19" s="7" t="s">
        <v>108</v>
      </c>
      <c r="D19" s="7"/>
    </row>
    <row r="20" spans="2:10" x14ac:dyDescent="0.3">
      <c r="B20" s="7" t="s">
        <v>109</v>
      </c>
      <c r="C20" s="11">
        <v>250</v>
      </c>
      <c r="D20" s="7" t="s">
        <v>110</v>
      </c>
      <c r="G20" t="s">
        <v>111</v>
      </c>
    </row>
    <row r="21" spans="2:10" x14ac:dyDescent="0.3">
      <c r="B21" s="7" t="s">
        <v>112</v>
      </c>
      <c r="C21" s="11">
        <v>1.5</v>
      </c>
      <c r="D21" s="7" t="s">
        <v>113</v>
      </c>
    </row>
    <row r="23" spans="2:10" x14ac:dyDescent="0.3">
      <c r="B23" s="7" t="s">
        <v>114</v>
      </c>
      <c r="C23" s="7" t="s">
        <v>115</v>
      </c>
      <c r="D23" s="7"/>
    </row>
    <row r="24" spans="2:10" x14ac:dyDescent="0.3">
      <c r="B24" s="7" t="s">
        <v>116</v>
      </c>
      <c r="C24" s="11">
        <v>4</v>
      </c>
      <c r="D24" s="7" t="s">
        <v>117</v>
      </c>
    </row>
    <row r="25" spans="2:10" x14ac:dyDescent="0.3">
      <c r="B25" s="7" t="s">
        <v>118</v>
      </c>
      <c r="C25" s="11">
        <v>2</v>
      </c>
      <c r="D25" s="7" t="s">
        <v>119</v>
      </c>
    </row>
    <row r="26" spans="2:10" x14ac:dyDescent="0.3">
      <c r="B26" s="7" t="s">
        <v>120</v>
      </c>
      <c r="C26" s="11">
        <v>10</v>
      </c>
      <c r="D26" s="7" t="s">
        <v>121</v>
      </c>
    </row>
    <row r="27" spans="2:10" x14ac:dyDescent="0.3">
      <c r="B27" s="7" t="s">
        <v>122</v>
      </c>
      <c r="C27" s="11">
        <v>1</v>
      </c>
      <c r="D27" s="7" t="s">
        <v>123</v>
      </c>
    </row>
    <row r="28" spans="2:10" x14ac:dyDescent="0.3">
      <c r="B28" s="7" t="s">
        <v>124</v>
      </c>
      <c r="C28" s="11">
        <v>18</v>
      </c>
      <c r="D28" s="7" t="s">
        <v>125</v>
      </c>
    </row>
    <row r="31" spans="2:10" x14ac:dyDescent="0.3">
      <c r="B31" s="68" t="s">
        <v>126</v>
      </c>
      <c r="C31" s="68"/>
      <c r="D31" s="68"/>
      <c r="E31" s="68"/>
      <c r="F31" s="68"/>
      <c r="G31" s="68"/>
      <c r="H31" s="68"/>
      <c r="I31" s="68"/>
    </row>
    <row r="32" spans="2:10" ht="15" thickBot="1" x14ac:dyDescent="0.35">
      <c r="B32" s="40" t="s">
        <v>93</v>
      </c>
      <c r="C32" s="40" t="s">
        <v>127</v>
      </c>
      <c r="D32" s="40" t="s">
        <v>128</v>
      </c>
      <c r="E32" s="40" t="s">
        <v>129</v>
      </c>
      <c r="F32" s="40" t="s">
        <v>130</v>
      </c>
      <c r="G32" s="40" t="s">
        <v>131</v>
      </c>
      <c r="H32" s="40" t="s">
        <v>132</v>
      </c>
      <c r="I32" s="40" t="s">
        <v>133</v>
      </c>
    </row>
    <row r="33" spans="2:9" ht="15.6" thickTop="1" thickBot="1" x14ac:dyDescent="0.35">
      <c r="B33" s="41">
        <v>1</v>
      </c>
      <c r="C33" s="7" t="s">
        <v>97</v>
      </c>
      <c r="D33" s="29" t="s">
        <v>50</v>
      </c>
      <c r="E33" s="29"/>
      <c r="F33" s="29"/>
      <c r="G33" s="29"/>
      <c r="H33" s="29"/>
      <c r="I33" s="42">
        <f>SUM(I34:I36)</f>
        <v>1793.8125</v>
      </c>
    </row>
    <row r="34" spans="2:9" ht="15" thickTop="1" x14ac:dyDescent="0.3">
      <c r="B34" s="41" t="s">
        <v>134</v>
      </c>
      <c r="C34" s="7" t="s">
        <v>135</v>
      </c>
      <c r="D34" t="s">
        <v>136</v>
      </c>
      <c r="E34" s="7">
        <f>Passes_with_element_regulated*Product_violates_standards</f>
        <v>0.45499999999999996</v>
      </c>
      <c r="F34" s="7" t="s">
        <v>137</v>
      </c>
      <c r="G34" s="7"/>
      <c r="H34" s="7">
        <f>((C15*3)+(D15*3)+(E15*6))-(Recall_Cost_multiplier*((C15*3)+(D15*3)+(E15*6)))</f>
        <v>-1537.5</v>
      </c>
      <c r="I34" s="7">
        <f>E34*H34</f>
        <v>-699.56249999999989</v>
      </c>
    </row>
    <row r="35" spans="2:9" x14ac:dyDescent="0.3">
      <c r="B35" s="41" t="s">
        <v>138</v>
      </c>
      <c r="C35" s="7" t="s">
        <v>139</v>
      </c>
      <c r="D35" t="s">
        <v>136</v>
      </c>
      <c r="E35" s="7">
        <f>Passes_with_element_regulated*Product_does_not_violate_standards</f>
        <v>0.19500000000000001</v>
      </c>
      <c r="F35" s="7">
        <v>18</v>
      </c>
      <c r="G35" s="7"/>
      <c r="H35" s="7">
        <f>((C15*3)+(D15*3)+(E15*12))</f>
        <v>4575</v>
      </c>
      <c r="I35" s="7">
        <f>E35*H35</f>
        <v>892.125</v>
      </c>
    </row>
    <row r="36" spans="2:9" x14ac:dyDescent="0.3">
      <c r="B36" s="41" t="s">
        <v>140</v>
      </c>
      <c r="C36" s="7" t="s">
        <v>141</v>
      </c>
      <c r="D36" s="7" t="s">
        <v>136</v>
      </c>
      <c r="E36" s="7">
        <f>Passes_without_element_regulated+Does_not_pass</f>
        <v>0.35</v>
      </c>
      <c r="F36" s="7">
        <v>18</v>
      </c>
      <c r="G36" s="7"/>
      <c r="H36" s="7">
        <f>((C15*3)+(D15*3)+(E15*12))</f>
        <v>4575</v>
      </c>
      <c r="I36" s="7">
        <f>E36*H36</f>
        <v>1601.25</v>
      </c>
    </row>
    <row r="37" spans="2:9" ht="15" thickBot="1" x14ac:dyDescent="0.35">
      <c r="B37" s="69"/>
      <c r="C37" s="70"/>
      <c r="D37" s="70"/>
      <c r="E37" s="70"/>
      <c r="F37" s="70"/>
      <c r="G37" s="70"/>
      <c r="H37" s="70"/>
      <c r="I37" s="71"/>
    </row>
    <row r="38" spans="2:9" ht="15.6" thickTop="1" thickBot="1" x14ac:dyDescent="0.35">
      <c r="B38" s="7">
        <v>2</v>
      </c>
      <c r="C38" s="7" t="s">
        <v>100</v>
      </c>
      <c r="D38" s="29" t="s">
        <v>50</v>
      </c>
      <c r="E38" s="29"/>
      <c r="F38" s="29"/>
      <c r="G38" s="29"/>
      <c r="H38" s="29"/>
      <c r="I38" s="42">
        <f>I39</f>
        <v>1935</v>
      </c>
    </row>
    <row r="39" spans="2:9" ht="15" thickTop="1" x14ac:dyDescent="0.3">
      <c r="B39" s="41" t="s">
        <v>142</v>
      </c>
      <c r="C39" s="43" t="s">
        <v>143</v>
      </c>
      <c r="D39" s="7" t="s">
        <v>136</v>
      </c>
      <c r="E39" s="7">
        <v>1</v>
      </c>
      <c r="F39" s="7">
        <v>18</v>
      </c>
      <c r="G39" s="7"/>
      <c r="H39" s="7">
        <f>(C14*3)+(D14*3)+(E14*12)</f>
        <v>1935</v>
      </c>
      <c r="I39" s="7">
        <f>E39*H39</f>
        <v>1935</v>
      </c>
    </row>
    <row r="40" spans="2:9" ht="15" thickBot="1" x14ac:dyDescent="0.35">
      <c r="B40" s="69"/>
      <c r="C40" s="70"/>
      <c r="D40" s="70"/>
      <c r="E40" s="70"/>
      <c r="F40" s="70"/>
      <c r="G40" s="70"/>
      <c r="H40" s="70"/>
      <c r="I40" s="71"/>
    </row>
    <row r="41" spans="2:9" ht="15.6" thickTop="1" thickBot="1" x14ac:dyDescent="0.35">
      <c r="B41" s="41">
        <v>3</v>
      </c>
      <c r="C41" s="7" t="s">
        <v>144</v>
      </c>
      <c r="D41" s="29" t="s">
        <v>50</v>
      </c>
      <c r="E41" s="29"/>
      <c r="F41" s="29"/>
      <c r="G41" s="29"/>
      <c r="H41" s="29"/>
      <c r="I41" s="42">
        <f>SUM(I42:I44)</f>
        <v>2680</v>
      </c>
    </row>
    <row r="42" spans="2:9" ht="15" thickTop="1" x14ac:dyDescent="0.3">
      <c r="B42" s="41" t="s">
        <v>145</v>
      </c>
      <c r="C42" s="7" t="s">
        <v>146</v>
      </c>
      <c r="D42" s="7" t="s">
        <v>147</v>
      </c>
      <c r="E42" s="7">
        <f>Passes_with_element_regulated</f>
        <v>0.65</v>
      </c>
      <c r="F42" s="7" t="s">
        <v>148</v>
      </c>
      <c r="G42" s="7"/>
      <c r="H42" s="7">
        <f>(C13*2)+(C14*3)+(D14*3)+(E14*10)</f>
        <v>1875</v>
      </c>
      <c r="I42" s="7">
        <f>E42*H42</f>
        <v>1218.75</v>
      </c>
    </row>
    <row r="43" spans="2:9" x14ac:dyDescent="0.3">
      <c r="B43" s="41" t="s">
        <v>149</v>
      </c>
      <c r="C43" s="7" t="s">
        <v>150</v>
      </c>
      <c r="D43" s="7" t="s">
        <v>147</v>
      </c>
      <c r="E43" s="7">
        <f>Passes_without_element_regulated</f>
        <v>0.15</v>
      </c>
      <c r="F43" s="7" t="s">
        <v>148</v>
      </c>
      <c r="G43" s="7"/>
      <c r="H43" s="7">
        <f>(C13*2)+(C15*3)+(D15*3)+(E15*10)</f>
        <v>4175</v>
      </c>
      <c r="I43" s="7">
        <f>E43*H43</f>
        <v>626.25</v>
      </c>
    </row>
    <row r="44" spans="2:9" x14ac:dyDescent="0.3">
      <c r="B44" s="41" t="s">
        <v>151</v>
      </c>
      <c r="C44" s="7" t="s">
        <v>152</v>
      </c>
      <c r="D44" s="7" t="s">
        <v>147</v>
      </c>
      <c r="E44" s="7">
        <f>Does_not_pass</f>
        <v>0.2</v>
      </c>
      <c r="F44" s="7" t="s">
        <v>148</v>
      </c>
      <c r="G44" s="7"/>
      <c r="H44" s="7">
        <f>(C13*2)+(C15*3)+(D15*3)+(E15*10)</f>
        <v>4175</v>
      </c>
      <c r="I44" s="7">
        <f>E44*H44</f>
        <v>835</v>
      </c>
    </row>
    <row r="45" spans="2:9" ht="15" thickBot="1" x14ac:dyDescent="0.35">
      <c r="B45" s="69"/>
      <c r="C45" s="70"/>
      <c r="D45" s="70"/>
      <c r="E45" s="70"/>
      <c r="F45" s="70"/>
      <c r="G45" s="70"/>
      <c r="H45" s="70"/>
      <c r="I45" s="71"/>
    </row>
    <row r="46" spans="2:9" ht="15.6" thickTop="1" thickBot="1" x14ac:dyDescent="0.35">
      <c r="B46" s="41">
        <v>4</v>
      </c>
      <c r="C46" s="7" t="s">
        <v>105</v>
      </c>
      <c r="D46" s="29" t="s">
        <v>50</v>
      </c>
      <c r="E46" s="29"/>
      <c r="F46" s="29"/>
      <c r="G46" s="29"/>
      <c r="H46" s="29"/>
      <c r="I46" s="42">
        <f>SUM(I47:I48)</f>
        <v>618.15</v>
      </c>
    </row>
    <row r="47" spans="2:9" ht="15" thickTop="1" x14ac:dyDescent="0.3">
      <c r="B47" s="41" t="s">
        <v>153</v>
      </c>
      <c r="C47" s="7" t="s">
        <v>154</v>
      </c>
      <c r="D47" s="7" t="s">
        <v>155</v>
      </c>
      <c r="E47" s="7">
        <f>Passes_with_element_regulated*Product_violates_standards</f>
        <v>0.45499999999999996</v>
      </c>
      <c r="F47" s="7" t="s">
        <v>156</v>
      </c>
      <c r="G47" s="7"/>
      <c r="H47" s="7">
        <f>(C13*3)+(D13*3)+(E14*6)</f>
        <v>645</v>
      </c>
      <c r="I47" s="7">
        <f>E47*H47</f>
        <v>293.47499999999997</v>
      </c>
    </row>
    <row r="48" spans="2:9" x14ac:dyDescent="0.3">
      <c r="B48" s="41" t="s">
        <v>157</v>
      </c>
      <c r="C48" s="7" t="s">
        <v>158</v>
      </c>
      <c r="D48" s="7" t="s">
        <v>155</v>
      </c>
      <c r="E48" s="7">
        <f>Passes_with_element_regulated*Product_does_not_violate_standards</f>
        <v>0.19500000000000001</v>
      </c>
      <c r="F48" s="7" t="s">
        <v>159</v>
      </c>
      <c r="G48" s="7"/>
      <c r="H48" s="7">
        <f>(C13*3)+(D13*3)+(E15*6)</f>
        <v>1665</v>
      </c>
      <c r="I48" s="7">
        <f>E48*H48</f>
        <v>324.67500000000001</v>
      </c>
    </row>
    <row r="53" spans="2:5" x14ac:dyDescent="0.3">
      <c r="B53" s="50" t="s">
        <v>160</v>
      </c>
      <c r="C53" s="51"/>
      <c r="D53" s="51"/>
      <c r="E53" s="51"/>
    </row>
    <row r="54" spans="2:5" x14ac:dyDescent="0.3">
      <c r="B54" t="s">
        <v>161</v>
      </c>
    </row>
    <row r="55" spans="2:5" x14ac:dyDescent="0.3">
      <c r="B55" s="40" t="s">
        <v>162</v>
      </c>
      <c r="C55" s="40" t="s">
        <v>163</v>
      </c>
      <c r="D55" s="40" t="s">
        <v>164</v>
      </c>
      <c r="E55" s="40" t="s">
        <v>165</v>
      </c>
    </row>
    <row r="56" spans="2:5" x14ac:dyDescent="0.3">
      <c r="B56" s="7" t="s">
        <v>166</v>
      </c>
      <c r="C56" s="7" t="s">
        <v>167</v>
      </c>
      <c r="D56" s="7">
        <f>(E34*I38) + ((1-E34)*(H36))</f>
        <v>3373.8</v>
      </c>
      <c r="E56" s="7" t="s">
        <v>168</v>
      </c>
    </row>
    <row r="57" spans="2:5" x14ac:dyDescent="0.3">
      <c r="B57" s="7" t="s">
        <v>169</v>
      </c>
      <c r="C57" s="7" t="s">
        <v>170</v>
      </c>
      <c r="D57" s="7"/>
      <c r="E57" s="7"/>
    </row>
    <row r="59" spans="2:5" x14ac:dyDescent="0.3">
      <c r="B59" s="44" t="s">
        <v>171</v>
      </c>
      <c r="C59" s="44"/>
    </row>
    <row r="60" spans="2:5" x14ac:dyDescent="0.3">
      <c r="B60" s="44" t="s">
        <v>172</v>
      </c>
      <c r="C60" s="44"/>
    </row>
    <row r="61" spans="2:5" x14ac:dyDescent="0.3">
      <c r="B61" s="7" t="s">
        <v>173</v>
      </c>
      <c r="C61" s="7">
        <f>Product_violates_standards</f>
        <v>0.7</v>
      </c>
    </row>
    <row r="62" spans="2:5" x14ac:dyDescent="0.3">
      <c r="B62" s="7" t="s">
        <v>174</v>
      </c>
      <c r="C62" s="7">
        <f>Product_does_not_violate_standards</f>
        <v>0.3</v>
      </c>
    </row>
    <row r="63" spans="2:5" x14ac:dyDescent="0.3">
      <c r="B63" s="7"/>
      <c r="C63" s="7"/>
    </row>
    <row r="64" spans="2:5" x14ac:dyDescent="0.3">
      <c r="B64" s="44" t="s">
        <v>175</v>
      </c>
      <c r="C64" s="44"/>
    </row>
    <row r="65" spans="2:3" x14ac:dyDescent="0.3">
      <c r="B65" s="7" t="s">
        <v>176</v>
      </c>
      <c r="C65" s="7">
        <f>True_positive_rate__correct_violation</f>
        <v>0.97</v>
      </c>
    </row>
    <row r="66" spans="2:3" x14ac:dyDescent="0.3">
      <c r="B66" s="7" t="s">
        <v>177</v>
      </c>
      <c r="C66" s="45">
        <f>1-C65</f>
        <v>3.0000000000000027E-2</v>
      </c>
    </row>
    <row r="67" spans="2:3" x14ac:dyDescent="0.3">
      <c r="B67" s="7" t="s">
        <v>178</v>
      </c>
      <c r="C67" s="7">
        <f>False_positive_rate__wrong_violation</f>
        <v>0.13</v>
      </c>
    </row>
    <row r="68" spans="2:3" x14ac:dyDescent="0.3">
      <c r="B68" s="46" t="s">
        <v>179</v>
      </c>
      <c r="C68" s="46">
        <f>1-C67</f>
        <v>0.87</v>
      </c>
    </row>
    <row r="69" spans="2:3" x14ac:dyDescent="0.3">
      <c r="B69" s="46"/>
      <c r="C69" s="46"/>
    </row>
    <row r="70" spans="2:3" x14ac:dyDescent="0.3">
      <c r="B70" s="44" t="s">
        <v>180</v>
      </c>
      <c r="C70" s="44"/>
    </row>
    <row r="71" spans="2:3" x14ac:dyDescent="0.3">
      <c r="B71" s="46" t="s">
        <v>181</v>
      </c>
      <c r="C71" s="46">
        <f>C61*C65 + C62*C67</f>
        <v>0.71799999999999997</v>
      </c>
    </row>
    <row r="72" spans="2:3" x14ac:dyDescent="0.3">
      <c r="B72" s="46" t="s">
        <v>182</v>
      </c>
      <c r="C72" s="46">
        <f>C61*C66 + C62*C68</f>
        <v>0.28200000000000003</v>
      </c>
    </row>
    <row r="73" spans="2:3" x14ac:dyDescent="0.3">
      <c r="B73" s="46"/>
      <c r="C73" s="46"/>
    </row>
    <row r="74" spans="2:3" x14ac:dyDescent="0.3">
      <c r="B74" s="44" t="s">
        <v>183</v>
      </c>
      <c r="C74" s="44"/>
    </row>
    <row r="75" spans="2:3" x14ac:dyDescent="0.3">
      <c r="B75" s="46" t="s">
        <v>184</v>
      </c>
      <c r="C75" s="46">
        <f>(C61*C65)/C71</f>
        <v>0.94568245125348183</v>
      </c>
    </row>
    <row r="76" spans="2:3" x14ac:dyDescent="0.3">
      <c r="B76" s="46" t="s">
        <v>185</v>
      </c>
      <c r="C76" s="46">
        <f>1-C75</f>
        <v>5.4317548746518174E-2</v>
      </c>
    </row>
    <row r="77" spans="2:3" x14ac:dyDescent="0.3">
      <c r="B77" s="46" t="s">
        <v>186</v>
      </c>
      <c r="C77" s="46">
        <f>(C61*C66)/C72</f>
        <v>7.4468085106383031E-2</v>
      </c>
    </row>
    <row r="78" spans="2:3" x14ac:dyDescent="0.3">
      <c r="B78" s="46" t="s">
        <v>187</v>
      </c>
      <c r="C78" s="46">
        <f>1-C77</f>
        <v>0.92553191489361697</v>
      </c>
    </row>
    <row r="79" spans="2:3" x14ac:dyDescent="0.3">
      <c r="B79" s="46"/>
      <c r="C79" s="46"/>
    </row>
    <row r="81" spans="2:10" x14ac:dyDescent="0.3">
      <c r="B81" s="44" t="s">
        <v>188</v>
      </c>
      <c r="C81" s="44"/>
    </row>
    <row r="83" spans="2:10" x14ac:dyDescent="0.3">
      <c r="B83" s="40" t="s">
        <v>189</v>
      </c>
      <c r="C83" s="40" t="s">
        <v>163</v>
      </c>
      <c r="D83" s="40" t="s">
        <v>128</v>
      </c>
      <c r="E83" s="40" t="s">
        <v>129</v>
      </c>
      <c r="F83" s="40" t="s">
        <v>130</v>
      </c>
      <c r="G83" s="40" t="s">
        <v>132</v>
      </c>
      <c r="H83" s="40" t="s">
        <v>133</v>
      </c>
    </row>
    <row r="84" spans="2:10" x14ac:dyDescent="0.3">
      <c r="B84" s="7" t="s">
        <v>190</v>
      </c>
      <c r="C84" s="7" t="s">
        <v>191</v>
      </c>
      <c r="D84" s="7" t="s">
        <v>192</v>
      </c>
      <c r="E84" s="7">
        <f>C71</f>
        <v>0.71799999999999997</v>
      </c>
      <c r="F84" s="7" t="s">
        <v>159</v>
      </c>
      <c r="G84" s="7">
        <v>1595</v>
      </c>
      <c r="H84" s="7">
        <f>E84*G84</f>
        <v>1145.21</v>
      </c>
    </row>
    <row r="85" spans="2:10" x14ac:dyDescent="0.3">
      <c r="B85" s="7" t="s">
        <v>193</v>
      </c>
      <c r="C85" s="7" t="s">
        <v>194</v>
      </c>
      <c r="D85" s="7" t="s">
        <v>192</v>
      </c>
      <c r="E85" s="7">
        <f>C72</f>
        <v>0.28200000000000003</v>
      </c>
      <c r="F85" s="7"/>
      <c r="G85" s="7"/>
      <c r="H85" s="7">
        <f>H86+H87</f>
        <v>945.71249999999998</v>
      </c>
    </row>
    <row r="86" spans="2:10" x14ac:dyDescent="0.3">
      <c r="B86" s="7" t="s">
        <v>195</v>
      </c>
      <c r="C86" s="7" t="s">
        <v>196</v>
      </c>
      <c r="D86" s="7" t="s">
        <v>192</v>
      </c>
      <c r="E86" s="7">
        <f>C72*C77</f>
        <v>2.1000000000000015E-2</v>
      </c>
      <c r="F86" s="7" t="s">
        <v>137</v>
      </c>
      <c r="G86" s="7">
        <f>100+50-250+675+900+750-3487.5+0</f>
        <v>-1262.5</v>
      </c>
      <c r="H86" s="7">
        <f>E86*G86</f>
        <v>-26.512500000000021</v>
      </c>
    </row>
    <row r="87" spans="2:10" x14ac:dyDescent="0.3">
      <c r="B87" s="7" t="s">
        <v>197</v>
      </c>
      <c r="C87" s="7" t="s">
        <v>198</v>
      </c>
      <c r="D87" s="7" t="s">
        <v>192</v>
      </c>
      <c r="E87" s="7">
        <f>C72*C78</f>
        <v>0.26100000000000001</v>
      </c>
      <c r="F87" s="7" t="s">
        <v>159</v>
      </c>
      <c r="G87" s="7">
        <f xml:space="preserve"> 100 + 50 - 250 + 675 + 900 + 2250</f>
        <v>3725</v>
      </c>
      <c r="H87" s="7">
        <f>E87*G87</f>
        <v>972.22500000000002</v>
      </c>
    </row>
    <row r="88" spans="2:10" x14ac:dyDescent="0.3">
      <c r="B88" s="7"/>
      <c r="C88" s="7"/>
      <c r="D88" s="7"/>
      <c r="E88" s="7"/>
      <c r="F88" s="7"/>
      <c r="G88" s="7"/>
      <c r="H88" s="7"/>
    </row>
    <row r="89" spans="2:10" x14ac:dyDescent="0.3">
      <c r="B89" s="7" t="s">
        <v>199</v>
      </c>
      <c r="C89" s="7"/>
      <c r="D89" s="7"/>
      <c r="E89" s="7"/>
      <c r="F89" s="7"/>
      <c r="G89" s="7"/>
      <c r="H89" s="7">
        <f>SUM(H84:H85)</f>
        <v>2090.9225000000001</v>
      </c>
    </row>
    <row r="90" spans="2:10" x14ac:dyDescent="0.3">
      <c r="B90" s="7" t="s">
        <v>200</v>
      </c>
      <c r="C90" s="7"/>
      <c r="D90" s="7"/>
      <c r="E90" s="7"/>
      <c r="F90" s="7"/>
      <c r="G90" s="7"/>
      <c r="H90" s="7">
        <f xml:space="preserve"> 100 + 675 + 300 + 800</f>
        <v>1875</v>
      </c>
    </row>
    <row r="91" spans="2:10" x14ac:dyDescent="0.3">
      <c r="B91" s="7"/>
      <c r="C91" s="7"/>
      <c r="D91" s="7"/>
      <c r="E91" s="7"/>
      <c r="F91" s="7"/>
      <c r="G91" s="7"/>
      <c r="H91" s="7"/>
    </row>
    <row r="92" spans="2:10" x14ac:dyDescent="0.3">
      <c r="B92" s="7" t="s">
        <v>201</v>
      </c>
      <c r="C92" s="7"/>
      <c r="D92" s="7"/>
      <c r="E92" s="7"/>
      <c r="F92" s="7"/>
      <c r="G92" s="7"/>
      <c r="H92" s="42">
        <f>H89-H90</f>
        <v>215.92250000000013</v>
      </c>
    </row>
    <row r="93" spans="2:10" x14ac:dyDescent="0.3">
      <c r="B93" s="7" t="s">
        <v>202</v>
      </c>
      <c r="C93" s="7"/>
      <c r="D93" s="7"/>
      <c r="E93" s="7"/>
      <c r="F93" s="7"/>
      <c r="G93" s="7"/>
      <c r="H93" s="42">
        <f>D56-I41</f>
        <v>693.80000000000018</v>
      </c>
    </row>
    <row r="94" spans="2:10" x14ac:dyDescent="0.3">
      <c r="B94" s="7" t="s">
        <v>203</v>
      </c>
      <c r="C94" s="7"/>
      <c r="D94" s="7"/>
      <c r="E94" s="7"/>
      <c r="F94" s="7"/>
      <c r="G94" s="7"/>
      <c r="H94" s="46">
        <f>Consultant_Cost</f>
        <v>250</v>
      </c>
    </row>
    <row r="95" spans="2:10" x14ac:dyDescent="0.3">
      <c r="B95" s="7" t="s">
        <v>204</v>
      </c>
      <c r="C95" s="7"/>
      <c r="D95" s="7"/>
      <c r="E95" s="7"/>
      <c r="F95" s="7"/>
      <c r="G95" s="7"/>
      <c r="H95" s="42">
        <f>H92-H94</f>
        <v>-34.077499999999873</v>
      </c>
      <c r="I95" s="47" t="s">
        <v>205</v>
      </c>
      <c r="J95" s="7">
        <v>0</v>
      </c>
    </row>
  </sheetData>
  <mergeCells count="12">
    <mergeCell ref="B53:E53"/>
    <mergeCell ref="B2:H2"/>
    <mergeCell ref="B3:D3"/>
    <mergeCell ref="E3:H3"/>
    <mergeCell ref="J3:K3"/>
    <mergeCell ref="B11:E11"/>
    <mergeCell ref="H11:J11"/>
    <mergeCell ref="B18:D18"/>
    <mergeCell ref="B31:I31"/>
    <mergeCell ref="B37:I37"/>
    <mergeCell ref="B40:I40"/>
    <mergeCell ref="B45:I45"/>
  </mergeCells>
  <pageMargins left="0.7" right="0.7" top="0.75" bottom="0.75" header="0.3" footer="0.3"/>
  <pageSetup scale="2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5795-165B-4E11-BFA3-D500F3366CA5}">
  <sheetPr>
    <pageSetUpPr fitToPage="1"/>
  </sheetPr>
  <dimension ref="A1"/>
  <sheetViews>
    <sheetView workbookViewId="0">
      <selection activeCell="B1" sqref="B1"/>
    </sheetView>
  </sheetViews>
  <sheetFormatPr defaultRowHeight="14.4" x14ac:dyDescent="0.3"/>
  <cols>
    <col min="2" max="2" width="13.109375" customWidth="1"/>
    <col min="3" max="3" width="10.21875" bestFit="1" customWidth="1"/>
  </cols>
  <sheetData/>
  <pageMargins left="0.7" right="0.7" top="0.75" bottom="0.75" header="0.3" footer="0.3"/>
  <pageSetup scale="4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17278-659B-46C8-9101-AEAF73AE1E29}">
  <sheetPr>
    <pageSetUpPr fitToPage="1"/>
  </sheetPr>
  <dimension ref="A1:S102"/>
  <sheetViews>
    <sheetView topLeftCell="F1" workbookViewId="0">
      <selection activeCell="F2" sqref="F2"/>
    </sheetView>
  </sheetViews>
  <sheetFormatPr defaultRowHeight="14.4" x14ac:dyDescent="0.3"/>
  <cols>
    <col min="1" max="1" width="11.44140625" customWidth="1"/>
    <col min="2" max="2" width="11.33203125" bestFit="1" customWidth="1"/>
    <col min="3" max="3" width="8" bestFit="1" customWidth="1"/>
    <col min="6" max="6" width="11.21875" bestFit="1" customWidth="1"/>
    <col min="7" max="7" width="10.21875" bestFit="1" customWidth="1"/>
    <col min="8" max="9" width="11.6640625" bestFit="1" customWidth="1"/>
    <col min="13" max="13" width="15.33203125" customWidth="1"/>
    <col min="14" max="14" width="10.21875" bestFit="1" customWidth="1"/>
    <col min="17" max="17" width="10.21875" bestFit="1" customWidth="1"/>
  </cols>
  <sheetData>
    <row r="1" spans="1:16" x14ac:dyDescent="0.3">
      <c r="A1" s="7" t="s">
        <v>2</v>
      </c>
      <c r="B1" s="7"/>
      <c r="C1" s="7"/>
      <c r="D1" s="7"/>
      <c r="E1" s="7"/>
      <c r="F1" s="7"/>
      <c r="G1" s="7"/>
      <c r="H1" s="7"/>
      <c r="I1" s="7"/>
      <c r="J1" s="7"/>
    </row>
    <row r="2" spans="1:16" x14ac:dyDescent="0.3">
      <c r="A2" s="7" t="s">
        <v>3</v>
      </c>
      <c r="B2" s="7" t="s">
        <v>4</v>
      </c>
      <c r="C2" s="7" t="s">
        <v>5</v>
      </c>
      <c r="D2" s="7" t="s">
        <v>6</v>
      </c>
      <c r="E2" s="7" t="s">
        <v>7</v>
      </c>
      <c r="F2" s="7" t="s">
        <v>8</v>
      </c>
      <c r="G2" s="7" t="s">
        <v>9</v>
      </c>
      <c r="H2" s="7" t="s">
        <v>10</v>
      </c>
      <c r="I2" s="7" t="s">
        <v>11</v>
      </c>
      <c r="J2" s="7" t="s">
        <v>12</v>
      </c>
      <c r="M2" t="s">
        <v>13</v>
      </c>
    </row>
    <row r="3" spans="1:16" x14ac:dyDescent="0.3">
      <c r="A3" s="7">
        <v>1</v>
      </c>
      <c r="B3" s="7">
        <f t="shared" ref="B3:B34" si="0">Trial_Reservations</f>
        <v>109</v>
      </c>
      <c r="C3" s="7">
        <f ca="1">_xlfn.BINOM.INV($B$3, 0.95, RAND())</f>
        <v>104</v>
      </c>
      <c r="D3" s="7">
        <f t="shared" ref="D3:D34" ca="1" si="1">MIN(C3, Seats_available)</f>
        <v>100</v>
      </c>
      <c r="E3" s="7">
        <f t="shared" ref="E3:E34" ca="1" si="2">MAX(0, C3-Seats_available)</f>
        <v>4</v>
      </c>
      <c r="F3" s="8">
        <f t="shared" ref="F3:F34" si="3">B3*Ticket_cost</f>
        <v>16350</v>
      </c>
      <c r="G3" s="8">
        <f t="shared" ref="G3:G34" si="4">Empty_plane_cost</f>
        <v>8000</v>
      </c>
      <c r="H3" s="9">
        <f t="shared" ref="H3:H34" ca="1" si="5">D3*Cost_per_passenger</f>
        <v>3000</v>
      </c>
      <c r="I3" s="9">
        <f t="shared" ref="I3:I34" ca="1" si="6">E3*Overbooking_refund_per_passenger</f>
        <v>1200</v>
      </c>
      <c r="J3" s="9">
        <f ca="1">F3-G3-H3-I3</f>
        <v>4150</v>
      </c>
      <c r="M3" s="7" t="s">
        <v>14</v>
      </c>
      <c r="N3" s="7" t="s">
        <v>15</v>
      </c>
    </row>
    <row r="4" spans="1:16" x14ac:dyDescent="0.3">
      <c r="A4" s="7">
        <v>2</v>
      </c>
      <c r="B4" s="7">
        <f t="shared" si="0"/>
        <v>109</v>
      </c>
      <c r="C4" s="7">
        <f ca="1">_xlfn.BINOM.INV($B$3, 0.95, RAND())</f>
        <v>107</v>
      </c>
      <c r="D4" s="7">
        <f t="shared" ca="1" si="1"/>
        <v>100</v>
      </c>
      <c r="E4" s="7">
        <f t="shared" ca="1" si="2"/>
        <v>7</v>
      </c>
      <c r="F4" s="8">
        <f t="shared" si="3"/>
        <v>16350</v>
      </c>
      <c r="G4" s="8">
        <f t="shared" si="4"/>
        <v>8000</v>
      </c>
      <c r="H4" s="9">
        <f t="shared" ca="1" si="5"/>
        <v>3000</v>
      </c>
      <c r="I4" s="9">
        <f t="shared" ca="1" si="6"/>
        <v>2100</v>
      </c>
      <c r="J4" s="9">
        <f ca="1">F4-G4-H4-I4</f>
        <v>3250</v>
      </c>
      <c r="M4" s="7" t="s">
        <v>16</v>
      </c>
      <c r="N4" s="10">
        <v>150</v>
      </c>
    </row>
    <row r="5" spans="1:16" x14ac:dyDescent="0.3">
      <c r="A5" s="7">
        <v>3</v>
      </c>
      <c r="B5" s="7">
        <f t="shared" si="0"/>
        <v>109</v>
      </c>
      <c r="C5" s="7">
        <f t="shared" ref="C5:C68" ca="1" si="7">_xlfn.BINOM.INV($B$3, 0.95, RAND())</f>
        <v>102</v>
      </c>
      <c r="D5" s="7">
        <f t="shared" ca="1" si="1"/>
        <v>100</v>
      </c>
      <c r="E5" s="7">
        <f t="shared" ca="1" si="2"/>
        <v>2</v>
      </c>
      <c r="F5" s="8">
        <f t="shared" si="3"/>
        <v>16350</v>
      </c>
      <c r="G5" s="8">
        <f t="shared" si="4"/>
        <v>8000</v>
      </c>
      <c r="H5" s="9">
        <f t="shared" ca="1" si="5"/>
        <v>3000</v>
      </c>
      <c r="I5" s="9">
        <f t="shared" ca="1" si="6"/>
        <v>600</v>
      </c>
      <c r="J5" s="9">
        <f t="shared" ref="J5:J68" ca="1" si="8">F5-G5-H5-I5</f>
        <v>4750</v>
      </c>
      <c r="M5" s="7" t="s">
        <v>17</v>
      </c>
      <c r="N5" s="10">
        <v>30</v>
      </c>
    </row>
    <row r="6" spans="1:16" x14ac:dyDescent="0.3">
      <c r="A6" s="7">
        <v>4</v>
      </c>
      <c r="B6" s="7">
        <f t="shared" si="0"/>
        <v>109</v>
      </c>
      <c r="C6" s="7">
        <f t="shared" ca="1" si="7"/>
        <v>103</v>
      </c>
      <c r="D6" s="7">
        <f t="shared" ca="1" si="1"/>
        <v>100</v>
      </c>
      <c r="E6" s="7">
        <f t="shared" ca="1" si="2"/>
        <v>3</v>
      </c>
      <c r="F6" s="8">
        <f t="shared" si="3"/>
        <v>16350</v>
      </c>
      <c r="G6" s="8">
        <f t="shared" si="4"/>
        <v>8000</v>
      </c>
      <c r="H6" s="9">
        <f t="shared" ca="1" si="5"/>
        <v>3000</v>
      </c>
      <c r="I6" s="9">
        <f t="shared" ca="1" si="6"/>
        <v>900</v>
      </c>
      <c r="J6" s="9">
        <f t="shared" ca="1" si="8"/>
        <v>4450</v>
      </c>
      <c r="M6" s="7"/>
      <c r="N6" s="8"/>
    </row>
    <row r="7" spans="1:16" x14ac:dyDescent="0.3">
      <c r="A7" s="7">
        <v>5</v>
      </c>
      <c r="B7" s="7">
        <f t="shared" si="0"/>
        <v>109</v>
      </c>
      <c r="C7" s="7">
        <f t="shared" ca="1" si="7"/>
        <v>100</v>
      </c>
      <c r="D7" s="7">
        <f t="shared" ca="1" si="1"/>
        <v>100</v>
      </c>
      <c r="E7" s="7">
        <f t="shared" ca="1" si="2"/>
        <v>0</v>
      </c>
      <c r="F7" s="8">
        <f t="shared" si="3"/>
        <v>16350</v>
      </c>
      <c r="G7" s="8">
        <f t="shared" si="4"/>
        <v>8000</v>
      </c>
      <c r="H7" s="9">
        <f t="shared" ca="1" si="5"/>
        <v>3000</v>
      </c>
      <c r="I7" s="9">
        <f t="shared" ca="1" si="6"/>
        <v>0</v>
      </c>
      <c r="J7" s="9">
        <f t="shared" ca="1" si="8"/>
        <v>5350</v>
      </c>
      <c r="M7" s="7" t="s">
        <v>18</v>
      </c>
      <c r="N7" s="10">
        <v>8000</v>
      </c>
    </row>
    <row r="8" spans="1:16" x14ac:dyDescent="0.3">
      <c r="A8" s="7">
        <v>6</v>
      </c>
      <c r="B8" s="7">
        <f t="shared" si="0"/>
        <v>109</v>
      </c>
      <c r="C8" s="7">
        <f t="shared" ca="1" si="7"/>
        <v>105</v>
      </c>
      <c r="D8" s="7">
        <f t="shared" ca="1" si="1"/>
        <v>100</v>
      </c>
      <c r="E8" s="7">
        <f t="shared" ca="1" si="2"/>
        <v>5</v>
      </c>
      <c r="F8" s="8">
        <f t="shared" si="3"/>
        <v>16350</v>
      </c>
      <c r="G8" s="8">
        <f t="shared" si="4"/>
        <v>8000</v>
      </c>
      <c r="H8" s="9">
        <f t="shared" ca="1" si="5"/>
        <v>3000</v>
      </c>
      <c r="I8" s="9">
        <f t="shared" ca="1" si="6"/>
        <v>1500</v>
      </c>
      <c r="J8" s="9">
        <f t="shared" ca="1" si="8"/>
        <v>3850</v>
      </c>
      <c r="M8" s="7" t="s">
        <v>19</v>
      </c>
      <c r="N8" s="10">
        <v>300</v>
      </c>
    </row>
    <row r="9" spans="1:16" x14ac:dyDescent="0.3">
      <c r="A9" s="7">
        <v>7</v>
      </c>
      <c r="B9" s="7">
        <f t="shared" si="0"/>
        <v>109</v>
      </c>
      <c r="C9" s="7">
        <f t="shared" ca="1" si="7"/>
        <v>102</v>
      </c>
      <c r="D9" s="7">
        <f t="shared" ca="1" si="1"/>
        <v>100</v>
      </c>
      <c r="E9" s="7">
        <f t="shared" ca="1" si="2"/>
        <v>2</v>
      </c>
      <c r="F9" s="8">
        <f t="shared" si="3"/>
        <v>16350</v>
      </c>
      <c r="G9" s="8">
        <f t="shared" si="4"/>
        <v>8000</v>
      </c>
      <c r="H9" s="9">
        <f t="shared" ca="1" si="5"/>
        <v>3000</v>
      </c>
      <c r="I9" s="9">
        <f t="shared" ca="1" si="6"/>
        <v>600</v>
      </c>
      <c r="J9" s="9">
        <f t="shared" ca="1" si="8"/>
        <v>4750</v>
      </c>
      <c r="M9" s="7" t="s">
        <v>20</v>
      </c>
      <c r="N9" s="7"/>
    </row>
    <row r="10" spans="1:16" x14ac:dyDescent="0.3">
      <c r="A10" s="7">
        <v>8</v>
      </c>
      <c r="B10" s="7">
        <f t="shared" si="0"/>
        <v>109</v>
      </c>
      <c r="C10" s="7">
        <f t="shared" ca="1" si="7"/>
        <v>104</v>
      </c>
      <c r="D10" s="7">
        <f t="shared" ca="1" si="1"/>
        <v>100</v>
      </c>
      <c r="E10" s="7">
        <f t="shared" ca="1" si="2"/>
        <v>4</v>
      </c>
      <c r="F10" s="8">
        <f t="shared" si="3"/>
        <v>16350</v>
      </c>
      <c r="G10" s="8">
        <f t="shared" si="4"/>
        <v>8000</v>
      </c>
      <c r="H10" s="9">
        <f t="shared" ca="1" si="5"/>
        <v>3000</v>
      </c>
      <c r="I10" s="9">
        <f t="shared" ca="1" si="6"/>
        <v>1200</v>
      </c>
      <c r="J10" s="9">
        <f t="shared" ca="1" si="8"/>
        <v>4150</v>
      </c>
      <c r="M10" s="7" t="s">
        <v>21</v>
      </c>
      <c r="N10" s="11">
        <v>100</v>
      </c>
    </row>
    <row r="11" spans="1:16" x14ac:dyDescent="0.3">
      <c r="A11" s="7">
        <v>9</v>
      </c>
      <c r="B11" s="7">
        <f t="shared" si="0"/>
        <v>109</v>
      </c>
      <c r="C11" s="7">
        <f t="shared" ca="1" si="7"/>
        <v>108</v>
      </c>
      <c r="D11" s="7">
        <f t="shared" ca="1" si="1"/>
        <v>100</v>
      </c>
      <c r="E11" s="7">
        <f t="shared" ca="1" si="2"/>
        <v>8</v>
      </c>
      <c r="F11" s="8">
        <f t="shared" si="3"/>
        <v>16350</v>
      </c>
      <c r="G11" s="8">
        <f t="shared" si="4"/>
        <v>8000</v>
      </c>
      <c r="H11" s="9">
        <f t="shared" ca="1" si="5"/>
        <v>3000</v>
      </c>
      <c r="I11" s="9">
        <f t="shared" ca="1" si="6"/>
        <v>2400</v>
      </c>
      <c r="J11" s="9">
        <f t="shared" ca="1" si="8"/>
        <v>2950</v>
      </c>
      <c r="M11" s="7" t="s">
        <v>22</v>
      </c>
      <c r="N11" s="12">
        <v>0.95</v>
      </c>
    </row>
    <row r="12" spans="1:16" x14ac:dyDescent="0.3">
      <c r="A12" s="7">
        <v>10</v>
      </c>
      <c r="B12" s="7">
        <f t="shared" si="0"/>
        <v>109</v>
      </c>
      <c r="C12" s="7">
        <f t="shared" ca="1" si="7"/>
        <v>102</v>
      </c>
      <c r="D12" s="7">
        <f t="shared" ca="1" si="1"/>
        <v>100</v>
      </c>
      <c r="E12" s="7">
        <f t="shared" ca="1" si="2"/>
        <v>2</v>
      </c>
      <c r="F12" s="8">
        <f t="shared" si="3"/>
        <v>16350</v>
      </c>
      <c r="G12" s="8">
        <f t="shared" si="4"/>
        <v>8000</v>
      </c>
      <c r="H12" s="9">
        <f t="shared" ca="1" si="5"/>
        <v>3000</v>
      </c>
      <c r="I12" s="9">
        <f t="shared" ca="1" si="6"/>
        <v>600</v>
      </c>
      <c r="J12" s="9">
        <f t="shared" ca="1" si="8"/>
        <v>4750</v>
      </c>
    </row>
    <row r="13" spans="1:16" x14ac:dyDescent="0.3">
      <c r="A13" s="7">
        <v>11</v>
      </c>
      <c r="B13" s="7">
        <f t="shared" si="0"/>
        <v>109</v>
      </c>
      <c r="C13" s="7">
        <f t="shared" ca="1" si="7"/>
        <v>104</v>
      </c>
      <c r="D13" s="7">
        <f t="shared" ca="1" si="1"/>
        <v>100</v>
      </c>
      <c r="E13" s="7">
        <f t="shared" ca="1" si="2"/>
        <v>4</v>
      </c>
      <c r="F13" s="8">
        <f t="shared" si="3"/>
        <v>16350</v>
      </c>
      <c r="G13" s="8">
        <f t="shared" si="4"/>
        <v>8000</v>
      </c>
      <c r="H13" s="9">
        <f t="shared" ca="1" si="5"/>
        <v>3000</v>
      </c>
      <c r="I13" s="9">
        <f t="shared" ca="1" si="6"/>
        <v>1200</v>
      </c>
      <c r="J13" s="9">
        <f t="shared" ca="1" si="8"/>
        <v>4150</v>
      </c>
      <c r="M13" s="7" t="s">
        <v>23</v>
      </c>
      <c r="N13" s="7">
        <v>109</v>
      </c>
    </row>
    <row r="14" spans="1:16" x14ac:dyDescent="0.3">
      <c r="A14" s="7">
        <v>12</v>
      </c>
      <c r="B14" s="7">
        <f t="shared" si="0"/>
        <v>109</v>
      </c>
      <c r="C14" s="7">
        <f t="shared" ca="1" si="7"/>
        <v>101</v>
      </c>
      <c r="D14" s="7">
        <f t="shared" ca="1" si="1"/>
        <v>100</v>
      </c>
      <c r="E14" s="7">
        <f t="shared" ca="1" si="2"/>
        <v>1</v>
      </c>
      <c r="F14" s="8">
        <f t="shared" si="3"/>
        <v>16350</v>
      </c>
      <c r="G14" s="8">
        <f t="shared" si="4"/>
        <v>8000</v>
      </c>
      <c r="H14" s="9">
        <f t="shared" ca="1" si="5"/>
        <v>3000</v>
      </c>
      <c r="I14" s="9">
        <f t="shared" ca="1" si="6"/>
        <v>300</v>
      </c>
      <c r="J14" s="9">
        <f t="shared" ca="1" si="8"/>
        <v>5050</v>
      </c>
    </row>
    <row r="15" spans="1:16" x14ac:dyDescent="0.3">
      <c r="A15" s="7">
        <v>13</v>
      </c>
      <c r="B15" s="7">
        <f t="shared" si="0"/>
        <v>109</v>
      </c>
      <c r="C15" s="7">
        <f t="shared" ca="1" si="7"/>
        <v>101</v>
      </c>
      <c r="D15" s="7">
        <f t="shared" ca="1" si="1"/>
        <v>100</v>
      </c>
      <c r="E15" s="7">
        <f t="shared" ca="1" si="2"/>
        <v>1</v>
      </c>
      <c r="F15" s="8">
        <f t="shared" si="3"/>
        <v>16350</v>
      </c>
      <c r="G15" s="8">
        <f t="shared" si="4"/>
        <v>8000</v>
      </c>
      <c r="H15" s="9">
        <f t="shared" ca="1" si="5"/>
        <v>3000</v>
      </c>
      <c r="I15" s="9">
        <f t="shared" ca="1" si="6"/>
        <v>300</v>
      </c>
      <c r="J15" s="9">
        <f t="shared" ca="1" si="8"/>
        <v>5050</v>
      </c>
      <c r="M15" s="7" t="s">
        <v>24</v>
      </c>
      <c r="N15" s="13">
        <f ca="1">AVERAGE(J3:J102)</f>
        <v>4302.3999999999996</v>
      </c>
      <c r="O15" s="14" t="s">
        <v>25</v>
      </c>
    </row>
    <row r="16" spans="1:16" x14ac:dyDescent="0.3">
      <c r="A16" s="7">
        <v>14</v>
      </c>
      <c r="B16" s="7">
        <f t="shared" si="0"/>
        <v>109</v>
      </c>
      <c r="C16" s="7">
        <f t="shared" ca="1" si="7"/>
        <v>104</v>
      </c>
      <c r="D16" s="7">
        <f t="shared" ca="1" si="1"/>
        <v>100</v>
      </c>
      <c r="E16" s="7">
        <f t="shared" ca="1" si="2"/>
        <v>4</v>
      </c>
      <c r="F16" s="8">
        <f t="shared" si="3"/>
        <v>16350</v>
      </c>
      <c r="G16" s="8">
        <f t="shared" si="4"/>
        <v>8000</v>
      </c>
      <c r="H16" s="9">
        <f t="shared" ca="1" si="5"/>
        <v>3000</v>
      </c>
      <c r="I16" s="9">
        <f t="shared" ca="1" si="6"/>
        <v>1200</v>
      </c>
      <c r="J16" s="9">
        <f t="shared" ca="1" si="8"/>
        <v>4150</v>
      </c>
      <c r="M16" s="72" t="s">
        <v>26</v>
      </c>
      <c r="N16" s="72"/>
      <c r="O16" s="72"/>
      <c r="P16" s="72"/>
    </row>
    <row r="17" spans="1:19" x14ac:dyDescent="0.3">
      <c r="A17" s="7">
        <v>15</v>
      </c>
      <c r="B17" s="7">
        <f t="shared" si="0"/>
        <v>109</v>
      </c>
      <c r="C17" s="7">
        <f t="shared" ca="1" si="7"/>
        <v>104</v>
      </c>
      <c r="D17" s="7">
        <f t="shared" ca="1" si="1"/>
        <v>100</v>
      </c>
      <c r="E17" s="7">
        <f t="shared" ca="1" si="2"/>
        <v>4</v>
      </c>
      <c r="F17" s="8">
        <f t="shared" si="3"/>
        <v>16350</v>
      </c>
      <c r="G17" s="8">
        <f t="shared" si="4"/>
        <v>8000</v>
      </c>
      <c r="H17" s="9">
        <f t="shared" ca="1" si="5"/>
        <v>3000</v>
      </c>
      <c r="I17" s="9">
        <f t="shared" ca="1" si="6"/>
        <v>1200</v>
      </c>
      <c r="J17" s="9">
        <f t="shared" ca="1" si="8"/>
        <v>4150</v>
      </c>
      <c r="M17" s="7"/>
      <c r="N17" s="7" t="s">
        <v>27</v>
      </c>
      <c r="O17" s="7"/>
      <c r="P17" s="7"/>
      <c r="Q17" s="7"/>
    </row>
    <row r="18" spans="1:19" x14ac:dyDescent="0.3">
      <c r="A18" s="7">
        <v>16</v>
      </c>
      <c r="B18" s="7">
        <f t="shared" si="0"/>
        <v>109</v>
      </c>
      <c r="C18" s="7">
        <f t="shared" ca="1" si="7"/>
        <v>101</v>
      </c>
      <c r="D18" s="7">
        <f t="shared" ca="1" si="1"/>
        <v>100</v>
      </c>
      <c r="E18" s="7">
        <f t="shared" ca="1" si="2"/>
        <v>1</v>
      </c>
      <c r="F18" s="8">
        <f t="shared" si="3"/>
        <v>16350</v>
      </c>
      <c r="G18" s="8">
        <f t="shared" si="4"/>
        <v>8000</v>
      </c>
      <c r="H18" s="9">
        <f t="shared" ca="1" si="5"/>
        <v>3000</v>
      </c>
      <c r="I18" s="9">
        <f t="shared" ca="1" si="6"/>
        <v>300</v>
      </c>
      <c r="J18" s="9">
        <f t="shared" ca="1" si="8"/>
        <v>5050</v>
      </c>
      <c r="M18" s="7" t="s">
        <v>4</v>
      </c>
      <c r="N18" s="7">
        <v>1</v>
      </c>
      <c r="O18" s="7">
        <v>2</v>
      </c>
      <c r="P18" s="7">
        <v>3</v>
      </c>
      <c r="Q18" s="7" t="s">
        <v>28</v>
      </c>
      <c r="S18" t="s">
        <v>29</v>
      </c>
    </row>
    <row r="19" spans="1:19" x14ac:dyDescent="0.3">
      <c r="A19" s="7">
        <v>17</v>
      </c>
      <c r="B19" s="7">
        <f t="shared" si="0"/>
        <v>109</v>
      </c>
      <c r="C19" s="7">
        <f t="shared" ca="1" si="7"/>
        <v>104</v>
      </c>
      <c r="D19" s="7">
        <f t="shared" ca="1" si="1"/>
        <v>100</v>
      </c>
      <c r="E19" s="7">
        <f t="shared" ca="1" si="2"/>
        <v>4</v>
      </c>
      <c r="F19" s="8">
        <f t="shared" si="3"/>
        <v>16350</v>
      </c>
      <c r="G19" s="8">
        <f t="shared" si="4"/>
        <v>8000</v>
      </c>
      <c r="H19" s="9">
        <f t="shared" ca="1" si="5"/>
        <v>3000</v>
      </c>
      <c r="I19" s="9">
        <f t="shared" ca="1" si="6"/>
        <v>1200</v>
      </c>
      <c r="J19" s="9">
        <f t="shared" ca="1" si="8"/>
        <v>4150</v>
      </c>
      <c r="M19" s="7">
        <v>80</v>
      </c>
      <c r="N19" s="7">
        <v>1725.4</v>
      </c>
      <c r="O19" s="7">
        <v>1715.8</v>
      </c>
      <c r="P19" s="7">
        <v>1725.7</v>
      </c>
      <c r="Q19" s="15">
        <f>AVERAGE(N19:P19)</f>
        <v>1722.3</v>
      </c>
      <c r="S19">
        <f>MAX(N19:P19)-MIN(N19:P19)</f>
        <v>9.9000000000000909</v>
      </c>
    </row>
    <row r="20" spans="1:19" x14ac:dyDescent="0.3">
      <c r="A20" s="7">
        <v>18</v>
      </c>
      <c r="B20" s="7">
        <f t="shared" si="0"/>
        <v>109</v>
      </c>
      <c r="C20" s="7">
        <f t="shared" ca="1" si="7"/>
        <v>104</v>
      </c>
      <c r="D20" s="7">
        <f t="shared" ca="1" si="1"/>
        <v>100</v>
      </c>
      <c r="E20" s="7">
        <f t="shared" ca="1" si="2"/>
        <v>4</v>
      </c>
      <c r="F20" s="8">
        <f t="shared" si="3"/>
        <v>16350</v>
      </c>
      <c r="G20" s="8">
        <f t="shared" si="4"/>
        <v>8000</v>
      </c>
      <c r="H20" s="9">
        <f t="shared" ca="1" si="5"/>
        <v>3000</v>
      </c>
      <c r="I20" s="9">
        <f t="shared" ca="1" si="6"/>
        <v>1200</v>
      </c>
      <c r="J20" s="9">
        <f t="shared" ca="1" si="8"/>
        <v>4150</v>
      </c>
      <c r="M20" s="7">
        <v>85</v>
      </c>
      <c r="N20" s="7">
        <v>2329.3000000000002</v>
      </c>
      <c r="O20" s="7">
        <v>2328.4</v>
      </c>
      <c r="P20" s="7">
        <v>2329.3000000000002</v>
      </c>
      <c r="Q20" s="15">
        <f t="shared" ref="Q20:Q26" si="9">AVERAGE(N20:P20)</f>
        <v>2329.0000000000005</v>
      </c>
      <c r="S20">
        <f t="shared" ref="S20:S34" si="10">MAX(N20:P20)-MIN(N20:P20)</f>
        <v>0.90000000000009095</v>
      </c>
    </row>
    <row r="21" spans="1:19" x14ac:dyDescent="0.3">
      <c r="A21" s="7">
        <v>19</v>
      </c>
      <c r="B21" s="7">
        <f t="shared" si="0"/>
        <v>109</v>
      </c>
      <c r="C21" s="7">
        <f t="shared" ca="1" si="7"/>
        <v>106</v>
      </c>
      <c r="D21" s="7">
        <f t="shared" ca="1" si="1"/>
        <v>100</v>
      </c>
      <c r="E21" s="7">
        <f t="shared" ca="1" si="2"/>
        <v>6</v>
      </c>
      <c r="F21" s="8">
        <f t="shared" si="3"/>
        <v>16350</v>
      </c>
      <c r="G21" s="8">
        <f t="shared" si="4"/>
        <v>8000</v>
      </c>
      <c r="H21" s="9">
        <f t="shared" ca="1" si="5"/>
        <v>3000</v>
      </c>
      <c r="I21" s="9">
        <f t="shared" ca="1" si="6"/>
        <v>1800</v>
      </c>
      <c r="J21" s="9">
        <f t="shared" ca="1" si="8"/>
        <v>3550</v>
      </c>
      <c r="M21" s="7">
        <v>90</v>
      </c>
      <c r="N21" s="7">
        <v>2938.3</v>
      </c>
      <c r="O21" s="7">
        <v>2929.6</v>
      </c>
      <c r="P21" s="7">
        <v>2931.4</v>
      </c>
      <c r="Q21" s="15">
        <f t="shared" si="9"/>
        <v>2933.1</v>
      </c>
      <c r="S21">
        <f t="shared" si="10"/>
        <v>8.7000000000002728</v>
      </c>
    </row>
    <row r="22" spans="1:19" x14ac:dyDescent="0.3">
      <c r="A22" s="7">
        <v>20</v>
      </c>
      <c r="B22" s="7">
        <f t="shared" si="0"/>
        <v>109</v>
      </c>
      <c r="C22" s="7">
        <f t="shared" ca="1" si="7"/>
        <v>102</v>
      </c>
      <c r="D22" s="7">
        <f t="shared" ca="1" si="1"/>
        <v>100</v>
      </c>
      <c r="E22" s="7">
        <f t="shared" ca="1" si="2"/>
        <v>2</v>
      </c>
      <c r="F22" s="8">
        <f t="shared" si="3"/>
        <v>16350</v>
      </c>
      <c r="G22" s="8">
        <f t="shared" si="4"/>
        <v>8000</v>
      </c>
      <c r="H22" s="9">
        <f t="shared" ca="1" si="5"/>
        <v>3000</v>
      </c>
      <c r="I22" s="9">
        <f t="shared" ca="1" si="6"/>
        <v>600</v>
      </c>
      <c r="J22" s="9">
        <f t="shared" ca="1" si="8"/>
        <v>4750</v>
      </c>
      <c r="M22" s="7">
        <v>95</v>
      </c>
      <c r="N22" s="7">
        <v>3536.8</v>
      </c>
      <c r="O22" s="7">
        <v>3551.2</v>
      </c>
      <c r="P22" s="7">
        <v>3546.7</v>
      </c>
      <c r="Q22" s="15">
        <f t="shared" si="9"/>
        <v>3544.9</v>
      </c>
      <c r="S22">
        <f t="shared" si="10"/>
        <v>14.399999999999636</v>
      </c>
    </row>
    <row r="23" spans="1:19" x14ac:dyDescent="0.3">
      <c r="A23" s="7">
        <v>21</v>
      </c>
      <c r="B23" s="7">
        <f t="shared" si="0"/>
        <v>109</v>
      </c>
      <c r="C23" s="7">
        <f t="shared" ca="1" si="7"/>
        <v>101</v>
      </c>
      <c r="D23" s="7">
        <f t="shared" ca="1" si="1"/>
        <v>100</v>
      </c>
      <c r="E23" s="7">
        <f t="shared" ca="1" si="2"/>
        <v>1</v>
      </c>
      <c r="F23" s="8">
        <f t="shared" si="3"/>
        <v>16350</v>
      </c>
      <c r="G23" s="8">
        <f t="shared" si="4"/>
        <v>8000</v>
      </c>
      <c r="H23" s="9">
        <f t="shared" ca="1" si="5"/>
        <v>3000</v>
      </c>
      <c r="I23" s="9">
        <f t="shared" ca="1" si="6"/>
        <v>300</v>
      </c>
      <c r="J23" s="9">
        <f t="shared" ca="1" si="8"/>
        <v>5050</v>
      </c>
      <c r="M23" s="7">
        <v>100</v>
      </c>
      <c r="N23" s="7">
        <v>4150.6000000000004</v>
      </c>
      <c r="O23" s="7">
        <v>4146.7</v>
      </c>
      <c r="P23" s="7">
        <v>4151.2</v>
      </c>
      <c r="Q23" s="15">
        <f t="shared" si="9"/>
        <v>4149.5</v>
      </c>
      <c r="S23">
        <f t="shared" si="10"/>
        <v>4.5</v>
      </c>
    </row>
    <row r="24" spans="1:19" x14ac:dyDescent="0.3">
      <c r="A24" s="7">
        <v>22</v>
      </c>
      <c r="B24" s="7">
        <f t="shared" si="0"/>
        <v>109</v>
      </c>
      <c r="C24" s="7">
        <f t="shared" ca="1" si="7"/>
        <v>104</v>
      </c>
      <c r="D24" s="7">
        <f t="shared" ca="1" si="1"/>
        <v>100</v>
      </c>
      <c r="E24" s="7">
        <f t="shared" ca="1" si="2"/>
        <v>4</v>
      </c>
      <c r="F24" s="8">
        <f t="shared" si="3"/>
        <v>16350</v>
      </c>
      <c r="G24" s="8">
        <f t="shared" si="4"/>
        <v>8000</v>
      </c>
      <c r="H24" s="9">
        <f t="shared" ca="1" si="5"/>
        <v>3000</v>
      </c>
      <c r="I24" s="9">
        <f t="shared" ca="1" si="6"/>
        <v>1200</v>
      </c>
      <c r="J24" s="9">
        <f t="shared" ca="1" si="8"/>
        <v>4150</v>
      </c>
      <c r="M24" s="16">
        <v>105</v>
      </c>
      <c r="N24" s="16">
        <v>4508.8</v>
      </c>
      <c r="O24" s="16">
        <v>4589.5</v>
      </c>
      <c r="P24" s="16">
        <v>4530.7</v>
      </c>
      <c r="Q24" s="17">
        <f t="shared" si="9"/>
        <v>4543</v>
      </c>
      <c r="S24">
        <f t="shared" si="10"/>
        <v>80.699999999999818</v>
      </c>
    </row>
    <row r="25" spans="1:19" x14ac:dyDescent="0.3">
      <c r="A25" s="7">
        <v>23</v>
      </c>
      <c r="B25" s="7">
        <f t="shared" si="0"/>
        <v>109</v>
      </c>
      <c r="C25" s="7">
        <f t="shared" ca="1" si="7"/>
        <v>102</v>
      </c>
      <c r="D25" s="7">
        <f t="shared" ca="1" si="1"/>
        <v>100</v>
      </c>
      <c r="E25" s="7">
        <f t="shared" ca="1" si="2"/>
        <v>2</v>
      </c>
      <c r="F25" s="8">
        <f t="shared" si="3"/>
        <v>16350</v>
      </c>
      <c r="G25" s="8">
        <f t="shared" si="4"/>
        <v>8000</v>
      </c>
      <c r="H25" s="9">
        <f t="shared" ca="1" si="5"/>
        <v>3000</v>
      </c>
      <c r="I25" s="9">
        <f t="shared" ca="1" si="6"/>
        <v>600</v>
      </c>
      <c r="J25" s="9">
        <f t="shared" ca="1" si="8"/>
        <v>4750</v>
      </c>
      <c r="M25" s="7">
        <v>110</v>
      </c>
      <c r="N25" s="7">
        <v>4278.7</v>
      </c>
      <c r="O25" s="7">
        <v>4141.8999999999996</v>
      </c>
      <c r="P25" s="7">
        <v>4099.3</v>
      </c>
      <c r="Q25" s="15">
        <f t="shared" si="9"/>
        <v>4173.2999999999993</v>
      </c>
      <c r="S25">
        <f t="shared" si="10"/>
        <v>179.39999999999964</v>
      </c>
    </row>
    <row r="26" spans="1:19" x14ac:dyDescent="0.3">
      <c r="A26" s="7">
        <v>24</v>
      </c>
      <c r="B26" s="7">
        <f t="shared" si="0"/>
        <v>109</v>
      </c>
      <c r="C26" s="7">
        <f t="shared" ca="1" si="7"/>
        <v>102</v>
      </c>
      <c r="D26" s="7">
        <f t="shared" ca="1" si="1"/>
        <v>100</v>
      </c>
      <c r="E26" s="7">
        <f t="shared" ca="1" si="2"/>
        <v>2</v>
      </c>
      <c r="F26" s="8">
        <f t="shared" si="3"/>
        <v>16350</v>
      </c>
      <c r="G26" s="8">
        <f t="shared" si="4"/>
        <v>8000</v>
      </c>
      <c r="H26" s="9">
        <f t="shared" ca="1" si="5"/>
        <v>3000</v>
      </c>
      <c r="I26" s="9">
        <f t="shared" ca="1" si="6"/>
        <v>600</v>
      </c>
      <c r="J26" s="9">
        <f t="shared" ca="1" si="8"/>
        <v>4750</v>
      </c>
      <c r="M26" s="7">
        <v>115</v>
      </c>
      <c r="N26" s="7">
        <v>3487</v>
      </c>
      <c r="O26" s="7">
        <v>3523</v>
      </c>
      <c r="P26" s="7">
        <v>3511</v>
      </c>
      <c r="Q26" s="15">
        <f t="shared" si="9"/>
        <v>3507</v>
      </c>
      <c r="S26">
        <f t="shared" si="10"/>
        <v>36</v>
      </c>
    </row>
    <row r="27" spans="1:19" x14ac:dyDescent="0.3">
      <c r="A27" s="7">
        <v>25</v>
      </c>
      <c r="B27" s="7">
        <f t="shared" si="0"/>
        <v>109</v>
      </c>
      <c r="C27" s="7">
        <f t="shared" ca="1" si="7"/>
        <v>101</v>
      </c>
      <c r="D27" s="7">
        <f t="shared" ca="1" si="1"/>
        <v>100</v>
      </c>
      <c r="E27" s="7">
        <f t="shared" ca="1" si="2"/>
        <v>1</v>
      </c>
      <c r="F27" s="8">
        <f t="shared" si="3"/>
        <v>16350</v>
      </c>
      <c r="G27" s="8">
        <f t="shared" si="4"/>
        <v>8000</v>
      </c>
      <c r="H27" s="9">
        <f t="shared" ca="1" si="5"/>
        <v>3000</v>
      </c>
      <c r="I27" s="9">
        <f t="shared" ca="1" si="6"/>
        <v>300</v>
      </c>
      <c r="J27" s="9">
        <f t="shared" ca="1" si="8"/>
        <v>5050</v>
      </c>
      <c r="S27">
        <f t="shared" si="10"/>
        <v>0</v>
      </c>
    </row>
    <row r="28" spans="1:19" x14ac:dyDescent="0.3">
      <c r="A28" s="7">
        <v>26</v>
      </c>
      <c r="B28" s="7">
        <f t="shared" si="0"/>
        <v>109</v>
      </c>
      <c r="C28" s="7">
        <f t="shared" ca="1" si="7"/>
        <v>105</v>
      </c>
      <c r="D28" s="7">
        <f t="shared" ca="1" si="1"/>
        <v>100</v>
      </c>
      <c r="E28" s="7">
        <f t="shared" ca="1" si="2"/>
        <v>5</v>
      </c>
      <c r="F28" s="8">
        <f t="shared" si="3"/>
        <v>16350</v>
      </c>
      <c r="G28" s="8">
        <f t="shared" si="4"/>
        <v>8000</v>
      </c>
      <c r="H28" s="9">
        <f t="shared" ca="1" si="5"/>
        <v>3000</v>
      </c>
      <c r="I28" s="9">
        <f t="shared" ca="1" si="6"/>
        <v>1500</v>
      </c>
      <c r="J28" s="9">
        <f t="shared" ca="1" si="8"/>
        <v>3850</v>
      </c>
      <c r="M28" s="7">
        <v>103</v>
      </c>
      <c r="N28" s="7">
        <v>4440.1000000000004</v>
      </c>
      <c r="O28" s="7">
        <v>4488.7</v>
      </c>
      <c r="P28" s="7">
        <v>4483</v>
      </c>
      <c r="Q28" s="15">
        <f t="shared" ref="Q28:Q34" si="11">AVERAGE(N28:P28)</f>
        <v>4470.5999999999995</v>
      </c>
      <c r="S28">
        <f t="shared" si="10"/>
        <v>48.599999999999454</v>
      </c>
    </row>
    <row r="29" spans="1:19" x14ac:dyDescent="0.3">
      <c r="A29" s="7">
        <v>27</v>
      </c>
      <c r="B29" s="7">
        <f t="shared" si="0"/>
        <v>109</v>
      </c>
      <c r="C29" s="7">
        <f t="shared" ca="1" si="7"/>
        <v>103</v>
      </c>
      <c r="D29" s="7">
        <f t="shared" ca="1" si="1"/>
        <v>100</v>
      </c>
      <c r="E29" s="7">
        <f t="shared" ca="1" si="2"/>
        <v>3</v>
      </c>
      <c r="F29" s="8">
        <f t="shared" si="3"/>
        <v>16350</v>
      </c>
      <c r="G29" s="8">
        <f t="shared" si="4"/>
        <v>8000</v>
      </c>
      <c r="H29" s="9">
        <f t="shared" ca="1" si="5"/>
        <v>3000</v>
      </c>
      <c r="I29" s="9">
        <f t="shared" ca="1" si="6"/>
        <v>900</v>
      </c>
      <c r="J29" s="9">
        <f t="shared" ca="1" si="8"/>
        <v>4450</v>
      </c>
      <c r="M29" s="16">
        <v>104</v>
      </c>
      <c r="N29" s="16">
        <v>4549.8999999999996</v>
      </c>
      <c r="O29" s="16">
        <v>4538.2</v>
      </c>
      <c r="P29" s="16">
        <v>4576.6000000000004</v>
      </c>
      <c r="Q29" s="17">
        <f t="shared" si="11"/>
        <v>4554.8999999999996</v>
      </c>
      <c r="S29">
        <f t="shared" si="10"/>
        <v>38.400000000000546</v>
      </c>
    </row>
    <row r="30" spans="1:19" x14ac:dyDescent="0.3">
      <c r="A30" s="7">
        <v>28</v>
      </c>
      <c r="B30" s="7">
        <f t="shared" si="0"/>
        <v>109</v>
      </c>
      <c r="C30" s="7">
        <f t="shared" ca="1" si="7"/>
        <v>105</v>
      </c>
      <c r="D30" s="7">
        <f t="shared" ca="1" si="1"/>
        <v>100</v>
      </c>
      <c r="E30" s="7">
        <f t="shared" ca="1" si="2"/>
        <v>5</v>
      </c>
      <c r="F30" s="8">
        <f t="shared" si="3"/>
        <v>16350</v>
      </c>
      <c r="G30" s="8">
        <f t="shared" si="4"/>
        <v>8000</v>
      </c>
      <c r="H30" s="9">
        <f t="shared" ca="1" si="5"/>
        <v>3000</v>
      </c>
      <c r="I30" s="9">
        <f t="shared" ca="1" si="6"/>
        <v>1500</v>
      </c>
      <c r="J30" s="9">
        <f t="shared" ca="1" si="8"/>
        <v>3850</v>
      </c>
      <c r="M30" s="16">
        <v>105</v>
      </c>
      <c r="N30" s="16">
        <v>4551.3999999999996</v>
      </c>
      <c r="O30" s="16">
        <v>4503.7</v>
      </c>
      <c r="P30" s="16">
        <v>4547.5</v>
      </c>
      <c r="Q30" s="17">
        <f t="shared" si="11"/>
        <v>4534.2</v>
      </c>
      <c r="S30">
        <f t="shared" si="10"/>
        <v>47.699999999999818</v>
      </c>
    </row>
    <row r="31" spans="1:19" x14ac:dyDescent="0.3">
      <c r="A31" s="7">
        <v>29</v>
      </c>
      <c r="B31" s="7">
        <f t="shared" si="0"/>
        <v>109</v>
      </c>
      <c r="C31" s="7">
        <f t="shared" ca="1" si="7"/>
        <v>106</v>
      </c>
      <c r="D31" s="7">
        <f t="shared" ca="1" si="1"/>
        <v>100</v>
      </c>
      <c r="E31" s="7">
        <f t="shared" ca="1" si="2"/>
        <v>6</v>
      </c>
      <c r="F31" s="8">
        <f t="shared" si="3"/>
        <v>16350</v>
      </c>
      <c r="G31" s="8">
        <f t="shared" si="4"/>
        <v>8000</v>
      </c>
      <c r="H31" s="9">
        <f t="shared" ca="1" si="5"/>
        <v>3000</v>
      </c>
      <c r="I31" s="9">
        <f t="shared" ca="1" si="6"/>
        <v>1800</v>
      </c>
      <c r="J31" s="9">
        <f t="shared" ca="1" si="8"/>
        <v>3550</v>
      </c>
      <c r="M31" s="16">
        <v>106</v>
      </c>
      <c r="N31" s="16">
        <v>4551.7</v>
      </c>
      <c r="O31" s="16">
        <v>4579.8999999999996</v>
      </c>
      <c r="P31" s="16">
        <v>4506.1000000000004</v>
      </c>
      <c r="Q31" s="17">
        <f t="shared" si="11"/>
        <v>4545.8999999999996</v>
      </c>
      <c r="S31">
        <f t="shared" si="10"/>
        <v>73.799999999999272</v>
      </c>
    </row>
    <row r="32" spans="1:19" x14ac:dyDescent="0.3">
      <c r="A32" s="7">
        <v>30</v>
      </c>
      <c r="B32" s="7">
        <f t="shared" si="0"/>
        <v>109</v>
      </c>
      <c r="C32" s="7">
        <f t="shared" ca="1" si="7"/>
        <v>106</v>
      </c>
      <c r="D32" s="7">
        <f t="shared" ca="1" si="1"/>
        <v>100</v>
      </c>
      <c r="E32" s="7">
        <f t="shared" ca="1" si="2"/>
        <v>6</v>
      </c>
      <c r="F32" s="8">
        <f t="shared" si="3"/>
        <v>16350</v>
      </c>
      <c r="G32" s="8">
        <f t="shared" si="4"/>
        <v>8000</v>
      </c>
      <c r="H32" s="9">
        <f t="shared" ca="1" si="5"/>
        <v>3000</v>
      </c>
      <c r="I32" s="9">
        <f t="shared" ca="1" si="6"/>
        <v>1800</v>
      </c>
      <c r="J32" s="9">
        <f t="shared" ca="1" si="8"/>
        <v>3550</v>
      </c>
      <c r="M32" s="16">
        <v>107</v>
      </c>
      <c r="N32" s="16">
        <v>4565.5</v>
      </c>
      <c r="O32" s="16">
        <v>4521.3999999999996</v>
      </c>
      <c r="P32" s="16">
        <v>4550.5</v>
      </c>
      <c r="Q32" s="17">
        <f t="shared" si="11"/>
        <v>4545.8</v>
      </c>
      <c r="S32">
        <f t="shared" si="10"/>
        <v>44.100000000000364</v>
      </c>
    </row>
    <row r="33" spans="1:19" x14ac:dyDescent="0.3">
      <c r="A33" s="7">
        <v>31</v>
      </c>
      <c r="B33" s="7">
        <f t="shared" si="0"/>
        <v>109</v>
      </c>
      <c r="C33" s="7">
        <f t="shared" ca="1" si="7"/>
        <v>106</v>
      </c>
      <c r="D33" s="7">
        <f t="shared" ca="1" si="1"/>
        <v>100</v>
      </c>
      <c r="E33" s="7">
        <f t="shared" ca="1" si="2"/>
        <v>6</v>
      </c>
      <c r="F33" s="8">
        <f t="shared" si="3"/>
        <v>16350</v>
      </c>
      <c r="G33" s="8">
        <f t="shared" si="4"/>
        <v>8000</v>
      </c>
      <c r="H33" s="9">
        <f t="shared" ca="1" si="5"/>
        <v>3000</v>
      </c>
      <c r="I33" s="9">
        <f t="shared" ca="1" si="6"/>
        <v>1800</v>
      </c>
      <c r="J33" s="9">
        <f t="shared" ca="1" si="8"/>
        <v>3550</v>
      </c>
      <c r="M33" s="7">
        <v>108</v>
      </c>
      <c r="N33" s="7">
        <v>4487.5</v>
      </c>
      <c r="O33" s="7">
        <v>4512.3999999999996</v>
      </c>
      <c r="P33" s="7">
        <v>4548.7</v>
      </c>
      <c r="Q33" s="18">
        <f t="shared" si="11"/>
        <v>4516.2</v>
      </c>
      <c r="S33">
        <f t="shared" si="10"/>
        <v>61.199999999999818</v>
      </c>
    </row>
    <row r="34" spans="1:19" x14ac:dyDescent="0.3">
      <c r="A34" s="7">
        <v>32</v>
      </c>
      <c r="B34" s="7">
        <f t="shared" si="0"/>
        <v>109</v>
      </c>
      <c r="C34" s="7">
        <f t="shared" ca="1" si="7"/>
        <v>100</v>
      </c>
      <c r="D34" s="7">
        <f t="shared" ca="1" si="1"/>
        <v>100</v>
      </c>
      <c r="E34" s="7">
        <f t="shared" ca="1" si="2"/>
        <v>0</v>
      </c>
      <c r="F34" s="8">
        <f t="shared" si="3"/>
        <v>16350</v>
      </c>
      <c r="G34" s="8">
        <f t="shared" si="4"/>
        <v>8000</v>
      </c>
      <c r="H34" s="9">
        <f t="shared" ca="1" si="5"/>
        <v>3000</v>
      </c>
      <c r="I34" s="9">
        <f t="shared" ca="1" si="6"/>
        <v>0</v>
      </c>
      <c r="J34" s="9">
        <f t="shared" ca="1" si="8"/>
        <v>5350</v>
      </c>
      <c r="M34" s="7">
        <v>109</v>
      </c>
      <c r="N34" s="7">
        <v>4221.1000000000004</v>
      </c>
      <c r="O34" s="7">
        <v>4380.3999999999996</v>
      </c>
      <c r="P34" s="7">
        <v>4309.6000000000004</v>
      </c>
      <c r="Q34" s="18">
        <f t="shared" si="11"/>
        <v>4303.7</v>
      </c>
      <c r="S34">
        <f t="shared" si="10"/>
        <v>159.29999999999927</v>
      </c>
    </row>
    <row r="35" spans="1:19" x14ac:dyDescent="0.3">
      <c r="A35" s="7">
        <v>33</v>
      </c>
      <c r="B35" s="7">
        <f t="shared" ref="B35:B66" si="12">Trial_Reservations</f>
        <v>109</v>
      </c>
      <c r="C35" s="7">
        <f t="shared" ca="1" si="7"/>
        <v>103</v>
      </c>
      <c r="D35" s="7">
        <f t="shared" ref="D35:D66" ca="1" si="13">MIN(C35, Seats_available)</f>
        <v>100</v>
      </c>
      <c r="E35" s="7">
        <f t="shared" ref="E35:E66" ca="1" si="14">MAX(0, C35-Seats_available)</f>
        <v>3</v>
      </c>
      <c r="F35" s="8">
        <f t="shared" ref="F35:F66" si="15">B35*Ticket_cost</f>
        <v>16350</v>
      </c>
      <c r="G35" s="8">
        <f t="shared" ref="G35:G66" si="16">Empty_plane_cost</f>
        <v>8000</v>
      </c>
      <c r="H35" s="9">
        <f t="shared" ref="H35:H66" ca="1" si="17">D35*Cost_per_passenger</f>
        <v>3000</v>
      </c>
      <c r="I35" s="9">
        <f t="shared" ref="I35:I66" ca="1" si="18">E35*Overbooking_refund_per_passenger</f>
        <v>900</v>
      </c>
      <c r="J35" s="9">
        <f t="shared" ca="1" si="8"/>
        <v>4450</v>
      </c>
    </row>
    <row r="36" spans="1:19" x14ac:dyDescent="0.3">
      <c r="A36" s="7">
        <v>34</v>
      </c>
      <c r="B36" s="7">
        <f t="shared" si="12"/>
        <v>109</v>
      </c>
      <c r="C36" s="7">
        <f t="shared" ca="1" si="7"/>
        <v>108</v>
      </c>
      <c r="D36" s="7">
        <f t="shared" ca="1" si="13"/>
        <v>100</v>
      </c>
      <c r="E36" s="7">
        <f t="shared" ca="1" si="14"/>
        <v>8</v>
      </c>
      <c r="F36" s="8">
        <f t="shared" si="15"/>
        <v>16350</v>
      </c>
      <c r="G36" s="8">
        <f t="shared" si="16"/>
        <v>8000</v>
      </c>
      <c r="H36" s="9">
        <f t="shared" ca="1" si="17"/>
        <v>3000</v>
      </c>
      <c r="I36" s="9">
        <f t="shared" ca="1" si="18"/>
        <v>2400</v>
      </c>
      <c r="J36" s="9">
        <f t="shared" ca="1" si="8"/>
        <v>2950</v>
      </c>
    </row>
    <row r="37" spans="1:19" x14ac:dyDescent="0.3">
      <c r="A37" s="7">
        <v>35</v>
      </c>
      <c r="B37" s="7">
        <f t="shared" si="12"/>
        <v>109</v>
      </c>
      <c r="C37" s="7">
        <f t="shared" ca="1" si="7"/>
        <v>98</v>
      </c>
      <c r="D37" s="7">
        <f t="shared" ca="1" si="13"/>
        <v>98</v>
      </c>
      <c r="E37" s="7">
        <f t="shared" ca="1" si="14"/>
        <v>0</v>
      </c>
      <c r="F37" s="8">
        <f t="shared" si="15"/>
        <v>16350</v>
      </c>
      <c r="G37" s="8">
        <f t="shared" si="16"/>
        <v>8000</v>
      </c>
      <c r="H37" s="9">
        <f t="shared" ca="1" si="17"/>
        <v>2940</v>
      </c>
      <c r="I37" s="9">
        <f t="shared" ca="1" si="18"/>
        <v>0</v>
      </c>
      <c r="J37" s="9">
        <f t="shared" ca="1" si="8"/>
        <v>5410</v>
      </c>
    </row>
    <row r="38" spans="1:19" x14ac:dyDescent="0.3">
      <c r="A38" s="7">
        <v>36</v>
      </c>
      <c r="B38" s="7">
        <f t="shared" si="12"/>
        <v>109</v>
      </c>
      <c r="C38" s="7">
        <f t="shared" ca="1" si="7"/>
        <v>104</v>
      </c>
      <c r="D38" s="7">
        <f t="shared" ca="1" si="13"/>
        <v>100</v>
      </c>
      <c r="E38" s="7">
        <f t="shared" ca="1" si="14"/>
        <v>4</v>
      </c>
      <c r="F38" s="8">
        <f t="shared" si="15"/>
        <v>16350</v>
      </c>
      <c r="G38" s="8">
        <f t="shared" si="16"/>
        <v>8000</v>
      </c>
      <c r="H38" s="9">
        <f t="shared" ca="1" si="17"/>
        <v>3000</v>
      </c>
      <c r="I38" s="9">
        <f t="shared" ca="1" si="18"/>
        <v>1200</v>
      </c>
      <c r="J38" s="9">
        <f t="shared" ca="1" si="8"/>
        <v>4150</v>
      </c>
    </row>
    <row r="39" spans="1:19" x14ac:dyDescent="0.3">
      <c r="A39" s="7">
        <v>37</v>
      </c>
      <c r="B39" s="7">
        <f t="shared" si="12"/>
        <v>109</v>
      </c>
      <c r="C39" s="7">
        <f t="shared" ca="1" si="7"/>
        <v>98</v>
      </c>
      <c r="D39" s="7">
        <f t="shared" ca="1" si="13"/>
        <v>98</v>
      </c>
      <c r="E39" s="7">
        <f t="shared" ca="1" si="14"/>
        <v>0</v>
      </c>
      <c r="F39" s="8">
        <f t="shared" si="15"/>
        <v>16350</v>
      </c>
      <c r="G39" s="8">
        <f t="shared" si="16"/>
        <v>8000</v>
      </c>
      <c r="H39" s="9">
        <f t="shared" ca="1" si="17"/>
        <v>2940</v>
      </c>
      <c r="I39" s="9">
        <f t="shared" ca="1" si="18"/>
        <v>0</v>
      </c>
      <c r="J39" s="9">
        <f t="shared" ca="1" si="8"/>
        <v>5410</v>
      </c>
    </row>
    <row r="40" spans="1:19" x14ac:dyDescent="0.3">
      <c r="A40" s="7">
        <v>38</v>
      </c>
      <c r="B40" s="7">
        <f t="shared" si="12"/>
        <v>109</v>
      </c>
      <c r="C40" s="7">
        <f t="shared" ca="1" si="7"/>
        <v>104</v>
      </c>
      <c r="D40" s="7">
        <f t="shared" ca="1" si="13"/>
        <v>100</v>
      </c>
      <c r="E40" s="7">
        <f t="shared" ca="1" si="14"/>
        <v>4</v>
      </c>
      <c r="F40" s="8">
        <f t="shared" si="15"/>
        <v>16350</v>
      </c>
      <c r="G40" s="8">
        <f t="shared" si="16"/>
        <v>8000</v>
      </c>
      <c r="H40" s="9">
        <f t="shared" ca="1" si="17"/>
        <v>3000</v>
      </c>
      <c r="I40" s="9">
        <f t="shared" ca="1" si="18"/>
        <v>1200</v>
      </c>
      <c r="J40" s="9">
        <f t="shared" ca="1" si="8"/>
        <v>4150</v>
      </c>
    </row>
    <row r="41" spans="1:19" x14ac:dyDescent="0.3">
      <c r="A41" s="7">
        <v>39</v>
      </c>
      <c r="B41" s="7">
        <f t="shared" si="12"/>
        <v>109</v>
      </c>
      <c r="C41" s="7">
        <f t="shared" ca="1" si="7"/>
        <v>104</v>
      </c>
      <c r="D41" s="7">
        <f t="shared" ca="1" si="13"/>
        <v>100</v>
      </c>
      <c r="E41" s="7">
        <f t="shared" ca="1" si="14"/>
        <v>4</v>
      </c>
      <c r="F41" s="8">
        <f t="shared" si="15"/>
        <v>16350</v>
      </c>
      <c r="G41" s="8">
        <f t="shared" si="16"/>
        <v>8000</v>
      </c>
      <c r="H41" s="9">
        <f t="shared" ca="1" si="17"/>
        <v>3000</v>
      </c>
      <c r="I41" s="9">
        <f t="shared" ca="1" si="18"/>
        <v>1200</v>
      </c>
      <c r="J41" s="9">
        <f t="shared" ca="1" si="8"/>
        <v>4150</v>
      </c>
    </row>
    <row r="42" spans="1:19" x14ac:dyDescent="0.3">
      <c r="A42" s="7">
        <v>40</v>
      </c>
      <c r="B42" s="7">
        <f t="shared" si="12"/>
        <v>109</v>
      </c>
      <c r="C42" s="7">
        <f t="shared" ca="1" si="7"/>
        <v>105</v>
      </c>
      <c r="D42" s="7">
        <f t="shared" ca="1" si="13"/>
        <v>100</v>
      </c>
      <c r="E42" s="7">
        <f t="shared" ca="1" si="14"/>
        <v>5</v>
      </c>
      <c r="F42" s="8">
        <f t="shared" si="15"/>
        <v>16350</v>
      </c>
      <c r="G42" s="8">
        <f t="shared" si="16"/>
        <v>8000</v>
      </c>
      <c r="H42" s="9">
        <f t="shared" ca="1" si="17"/>
        <v>3000</v>
      </c>
      <c r="I42" s="9">
        <f t="shared" ca="1" si="18"/>
        <v>1500</v>
      </c>
      <c r="J42" s="9">
        <f t="shared" ca="1" si="8"/>
        <v>3850</v>
      </c>
    </row>
    <row r="43" spans="1:19" x14ac:dyDescent="0.3">
      <c r="A43" s="7">
        <v>41</v>
      </c>
      <c r="B43" s="7">
        <f t="shared" si="12"/>
        <v>109</v>
      </c>
      <c r="C43" s="7">
        <f t="shared" ca="1" si="7"/>
        <v>106</v>
      </c>
      <c r="D43" s="7">
        <f t="shared" ca="1" si="13"/>
        <v>100</v>
      </c>
      <c r="E43" s="7">
        <f t="shared" ca="1" si="14"/>
        <v>6</v>
      </c>
      <c r="F43" s="8">
        <f t="shared" si="15"/>
        <v>16350</v>
      </c>
      <c r="G43" s="8">
        <f t="shared" si="16"/>
        <v>8000</v>
      </c>
      <c r="H43" s="9">
        <f t="shared" ca="1" si="17"/>
        <v>3000</v>
      </c>
      <c r="I43" s="9">
        <f t="shared" ca="1" si="18"/>
        <v>1800</v>
      </c>
      <c r="J43" s="9">
        <f t="shared" ca="1" si="8"/>
        <v>3550</v>
      </c>
    </row>
    <row r="44" spans="1:19" x14ac:dyDescent="0.3">
      <c r="A44" s="7">
        <v>42</v>
      </c>
      <c r="B44" s="7">
        <f t="shared" si="12"/>
        <v>109</v>
      </c>
      <c r="C44" s="7">
        <f t="shared" ca="1" si="7"/>
        <v>102</v>
      </c>
      <c r="D44" s="7">
        <f t="shared" ca="1" si="13"/>
        <v>100</v>
      </c>
      <c r="E44" s="7">
        <f t="shared" ca="1" si="14"/>
        <v>2</v>
      </c>
      <c r="F44" s="8">
        <f t="shared" si="15"/>
        <v>16350</v>
      </c>
      <c r="G44" s="8">
        <f t="shared" si="16"/>
        <v>8000</v>
      </c>
      <c r="H44" s="9">
        <f t="shared" ca="1" si="17"/>
        <v>3000</v>
      </c>
      <c r="I44" s="9">
        <f t="shared" ca="1" si="18"/>
        <v>600</v>
      </c>
      <c r="J44" s="9">
        <f t="shared" ca="1" si="8"/>
        <v>4750</v>
      </c>
    </row>
    <row r="45" spans="1:19" x14ac:dyDescent="0.3">
      <c r="A45" s="7">
        <v>43</v>
      </c>
      <c r="B45" s="7">
        <f t="shared" si="12"/>
        <v>109</v>
      </c>
      <c r="C45" s="7">
        <f t="shared" ca="1" si="7"/>
        <v>104</v>
      </c>
      <c r="D45" s="7">
        <f t="shared" ca="1" si="13"/>
        <v>100</v>
      </c>
      <c r="E45" s="7">
        <f t="shared" ca="1" si="14"/>
        <v>4</v>
      </c>
      <c r="F45" s="8">
        <f t="shared" si="15"/>
        <v>16350</v>
      </c>
      <c r="G45" s="8">
        <f t="shared" si="16"/>
        <v>8000</v>
      </c>
      <c r="H45" s="9">
        <f t="shared" ca="1" si="17"/>
        <v>3000</v>
      </c>
      <c r="I45" s="9">
        <f t="shared" ca="1" si="18"/>
        <v>1200</v>
      </c>
      <c r="J45" s="9">
        <f t="shared" ca="1" si="8"/>
        <v>4150</v>
      </c>
    </row>
    <row r="46" spans="1:19" x14ac:dyDescent="0.3">
      <c r="A46" s="7">
        <v>44</v>
      </c>
      <c r="B46" s="7">
        <f t="shared" si="12"/>
        <v>109</v>
      </c>
      <c r="C46" s="7">
        <f t="shared" ca="1" si="7"/>
        <v>104</v>
      </c>
      <c r="D46" s="7">
        <f t="shared" ca="1" si="13"/>
        <v>100</v>
      </c>
      <c r="E46" s="7">
        <f t="shared" ca="1" si="14"/>
        <v>4</v>
      </c>
      <c r="F46" s="8">
        <f t="shared" si="15"/>
        <v>16350</v>
      </c>
      <c r="G46" s="8">
        <f t="shared" si="16"/>
        <v>8000</v>
      </c>
      <c r="H46" s="9">
        <f t="shared" ca="1" si="17"/>
        <v>3000</v>
      </c>
      <c r="I46" s="9">
        <f t="shared" ca="1" si="18"/>
        <v>1200</v>
      </c>
      <c r="J46" s="9">
        <f t="shared" ca="1" si="8"/>
        <v>4150</v>
      </c>
    </row>
    <row r="47" spans="1:19" x14ac:dyDescent="0.3">
      <c r="A47" s="7">
        <v>45</v>
      </c>
      <c r="B47" s="7">
        <f t="shared" si="12"/>
        <v>109</v>
      </c>
      <c r="C47" s="7">
        <f t="shared" ca="1" si="7"/>
        <v>97</v>
      </c>
      <c r="D47" s="7">
        <f t="shared" ca="1" si="13"/>
        <v>97</v>
      </c>
      <c r="E47" s="7">
        <f t="shared" ca="1" si="14"/>
        <v>0</v>
      </c>
      <c r="F47" s="8">
        <f t="shared" si="15"/>
        <v>16350</v>
      </c>
      <c r="G47" s="8">
        <f t="shared" si="16"/>
        <v>8000</v>
      </c>
      <c r="H47" s="9">
        <f t="shared" ca="1" si="17"/>
        <v>2910</v>
      </c>
      <c r="I47" s="9">
        <f t="shared" ca="1" si="18"/>
        <v>0</v>
      </c>
      <c r="J47" s="9">
        <f t="shared" ca="1" si="8"/>
        <v>5440</v>
      </c>
    </row>
    <row r="48" spans="1:19" x14ac:dyDescent="0.3">
      <c r="A48" s="7">
        <v>46</v>
      </c>
      <c r="B48" s="7">
        <f t="shared" si="12"/>
        <v>109</v>
      </c>
      <c r="C48" s="7">
        <f t="shared" ca="1" si="7"/>
        <v>103</v>
      </c>
      <c r="D48" s="7">
        <f t="shared" ca="1" si="13"/>
        <v>100</v>
      </c>
      <c r="E48" s="7">
        <f t="shared" ca="1" si="14"/>
        <v>3</v>
      </c>
      <c r="F48" s="8">
        <f t="shared" si="15"/>
        <v>16350</v>
      </c>
      <c r="G48" s="8">
        <f t="shared" si="16"/>
        <v>8000</v>
      </c>
      <c r="H48" s="9">
        <f t="shared" ca="1" si="17"/>
        <v>3000</v>
      </c>
      <c r="I48" s="9">
        <f t="shared" ca="1" si="18"/>
        <v>900</v>
      </c>
      <c r="J48" s="9">
        <f t="shared" ca="1" si="8"/>
        <v>4450</v>
      </c>
    </row>
    <row r="49" spans="1:10" x14ac:dyDescent="0.3">
      <c r="A49" s="7">
        <v>47</v>
      </c>
      <c r="B49" s="7">
        <f t="shared" si="12"/>
        <v>109</v>
      </c>
      <c r="C49" s="7">
        <f t="shared" ca="1" si="7"/>
        <v>106</v>
      </c>
      <c r="D49" s="7">
        <f t="shared" ca="1" si="13"/>
        <v>100</v>
      </c>
      <c r="E49" s="7">
        <f t="shared" ca="1" si="14"/>
        <v>6</v>
      </c>
      <c r="F49" s="8">
        <f t="shared" si="15"/>
        <v>16350</v>
      </c>
      <c r="G49" s="8">
        <f t="shared" si="16"/>
        <v>8000</v>
      </c>
      <c r="H49" s="9">
        <f t="shared" ca="1" si="17"/>
        <v>3000</v>
      </c>
      <c r="I49" s="9">
        <f t="shared" ca="1" si="18"/>
        <v>1800</v>
      </c>
      <c r="J49" s="9">
        <f t="shared" ca="1" si="8"/>
        <v>3550</v>
      </c>
    </row>
    <row r="50" spans="1:10" x14ac:dyDescent="0.3">
      <c r="A50" s="7">
        <v>48</v>
      </c>
      <c r="B50" s="7">
        <f t="shared" si="12"/>
        <v>109</v>
      </c>
      <c r="C50" s="7">
        <f t="shared" ca="1" si="7"/>
        <v>100</v>
      </c>
      <c r="D50" s="7">
        <f t="shared" ca="1" si="13"/>
        <v>100</v>
      </c>
      <c r="E50" s="7">
        <f t="shared" ca="1" si="14"/>
        <v>0</v>
      </c>
      <c r="F50" s="8">
        <f t="shared" si="15"/>
        <v>16350</v>
      </c>
      <c r="G50" s="8">
        <f t="shared" si="16"/>
        <v>8000</v>
      </c>
      <c r="H50" s="9">
        <f t="shared" ca="1" si="17"/>
        <v>3000</v>
      </c>
      <c r="I50" s="9">
        <f t="shared" ca="1" si="18"/>
        <v>0</v>
      </c>
      <c r="J50" s="9">
        <f t="shared" ca="1" si="8"/>
        <v>5350</v>
      </c>
    </row>
    <row r="51" spans="1:10" x14ac:dyDescent="0.3">
      <c r="A51" s="7">
        <v>49</v>
      </c>
      <c r="B51" s="7">
        <f t="shared" si="12"/>
        <v>109</v>
      </c>
      <c r="C51" s="7">
        <f t="shared" ca="1" si="7"/>
        <v>101</v>
      </c>
      <c r="D51" s="7">
        <f t="shared" ca="1" si="13"/>
        <v>100</v>
      </c>
      <c r="E51" s="7">
        <f t="shared" ca="1" si="14"/>
        <v>1</v>
      </c>
      <c r="F51" s="8">
        <f t="shared" si="15"/>
        <v>16350</v>
      </c>
      <c r="G51" s="8">
        <f t="shared" si="16"/>
        <v>8000</v>
      </c>
      <c r="H51" s="9">
        <f t="shared" ca="1" si="17"/>
        <v>3000</v>
      </c>
      <c r="I51" s="9">
        <f t="shared" ca="1" si="18"/>
        <v>300</v>
      </c>
      <c r="J51" s="9">
        <f t="shared" ca="1" si="8"/>
        <v>5050</v>
      </c>
    </row>
    <row r="52" spans="1:10" x14ac:dyDescent="0.3">
      <c r="A52" s="7">
        <v>50</v>
      </c>
      <c r="B52" s="7">
        <f t="shared" si="12"/>
        <v>109</v>
      </c>
      <c r="C52" s="7">
        <f t="shared" ca="1" si="7"/>
        <v>108</v>
      </c>
      <c r="D52" s="7">
        <f t="shared" ca="1" si="13"/>
        <v>100</v>
      </c>
      <c r="E52" s="7">
        <f t="shared" ca="1" si="14"/>
        <v>8</v>
      </c>
      <c r="F52" s="8">
        <f t="shared" si="15"/>
        <v>16350</v>
      </c>
      <c r="G52" s="8">
        <f t="shared" si="16"/>
        <v>8000</v>
      </c>
      <c r="H52" s="9">
        <f t="shared" ca="1" si="17"/>
        <v>3000</v>
      </c>
      <c r="I52" s="9">
        <f t="shared" ca="1" si="18"/>
        <v>2400</v>
      </c>
      <c r="J52" s="9">
        <f t="shared" ca="1" si="8"/>
        <v>2950</v>
      </c>
    </row>
    <row r="53" spans="1:10" x14ac:dyDescent="0.3">
      <c r="A53" s="7">
        <v>51</v>
      </c>
      <c r="B53" s="7">
        <f t="shared" si="12"/>
        <v>109</v>
      </c>
      <c r="C53" s="7">
        <f t="shared" ca="1" si="7"/>
        <v>103</v>
      </c>
      <c r="D53" s="7">
        <f t="shared" ca="1" si="13"/>
        <v>100</v>
      </c>
      <c r="E53" s="7">
        <f t="shared" ca="1" si="14"/>
        <v>3</v>
      </c>
      <c r="F53" s="8">
        <f t="shared" si="15"/>
        <v>16350</v>
      </c>
      <c r="G53" s="8">
        <f t="shared" si="16"/>
        <v>8000</v>
      </c>
      <c r="H53" s="9">
        <f t="shared" ca="1" si="17"/>
        <v>3000</v>
      </c>
      <c r="I53" s="9">
        <f t="shared" ca="1" si="18"/>
        <v>900</v>
      </c>
      <c r="J53" s="9">
        <f t="shared" ca="1" si="8"/>
        <v>4450</v>
      </c>
    </row>
    <row r="54" spans="1:10" x14ac:dyDescent="0.3">
      <c r="A54" s="7">
        <v>52</v>
      </c>
      <c r="B54" s="7">
        <f t="shared" si="12"/>
        <v>109</v>
      </c>
      <c r="C54" s="7">
        <f t="shared" ca="1" si="7"/>
        <v>102</v>
      </c>
      <c r="D54" s="7">
        <f t="shared" ca="1" si="13"/>
        <v>100</v>
      </c>
      <c r="E54" s="7">
        <f t="shared" ca="1" si="14"/>
        <v>2</v>
      </c>
      <c r="F54" s="8">
        <f t="shared" si="15"/>
        <v>16350</v>
      </c>
      <c r="G54" s="8">
        <f t="shared" si="16"/>
        <v>8000</v>
      </c>
      <c r="H54" s="9">
        <f t="shared" ca="1" si="17"/>
        <v>3000</v>
      </c>
      <c r="I54" s="9">
        <f t="shared" ca="1" si="18"/>
        <v>600</v>
      </c>
      <c r="J54" s="9">
        <f t="shared" ca="1" si="8"/>
        <v>4750</v>
      </c>
    </row>
    <row r="55" spans="1:10" x14ac:dyDescent="0.3">
      <c r="A55" s="7">
        <v>53</v>
      </c>
      <c r="B55" s="7">
        <f t="shared" si="12"/>
        <v>109</v>
      </c>
      <c r="C55" s="7">
        <f t="shared" ca="1" si="7"/>
        <v>105</v>
      </c>
      <c r="D55" s="7">
        <f t="shared" ca="1" si="13"/>
        <v>100</v>
      </c>
      <c r="E55" s="7">
        <f t="shared" ca="1" si="14"/>
        <v>5</v>
      </c>
      <c r="F55" s="8">
        <f t="shared" si="15"/>
        <v>16350</v>
      </c>
      <c r="G55" s="8">
        <f t="shared" si="16"/>
        <v>8000</v>
      </c>
      <c r="H55" s="9">
        <f t="shared" ca="1" si="17"/>
        <v>3000</v>
      </c>
      <c r="I55" s="9">
        <f t="shared" ca="1" si="18"/>
        <v>1500</v>
      </c>
      <c r="J55" s="9">
        <f t="shared" ca="1" si="8"/>
        <v>3850</v>
      </c>
    </row>
    <row r="56" spans="1:10" x14ac:dyDescent="0.3">
      <c r="A56" s="7">
        <v>54</v>
      </c>
      <c r="B56" s="7">
        <f t="shared" si="12"/>
        <v>109</v>
      </c>
      <c r="C56" s="7">
        <f t="shared" ca="1" si="7"/>
        <v>102</v>
      </c>
      <c r="D56" s="7">
        <f t="shared" ca="1" si="13"/>
        <v>100</v>
      </c>
      <c r="E56" s="7">
        <f t="shared" ca="1" si="14"/>
        <v>2</v>
      </c>
      <c r="F56" s="8">
        <f t="shared" si="15"/>
        <v>16350</v>
      </c>
      <c r="G56" s="8">
        <f t="shared" si="16"/>
        <v>8000</v>
      </c>
      <c r="H56" s="9">
        <f t="shared" ca="1" si="17"/>
        <v>3000</v>
      </c>
      <c r="I56" s="9">
        <f t="shared" ca="1" si="18"/>
        <v>600</v>
      </c>
      <c r="J56" s="9">
        <f t="shared" ca="1" si="8"/>
        <v>4750</v>
      </c>
    </row>
    <row r="57" spans="1:10" x14ac:dyDescent="0.3">
      <c r="A57" s="7">
        <v>55</v>
      </c>
      <c r="B57" s="7">
        <f t="shared" si="12"/>
        <v>109</v>
      </c>
      <c r="C57" s="7">
        <f t="shared" ca="1" si="7"/>
        <v>108</v>
      </c>
      <c r="D57" s="7">
        <f t="shared" ca="1" si="13"/>
        <v>100</v>
      </c>
      <c r="E57" s="7">
        <f t="shared" ca="1" si="14"/>
        <v>8</v>
      </c>
      <c r="F57" s="8">
        <f t="shared" si="15"/>
        <v>16350</v>
      </c>
      <c r="G57" s="8">
        <f t="shared" si="16"/>
        <v>8000</v>
      </c>
      <c r="H57" s="9">
        <f t="shared" ca="1" si="17"/>
        <v>3000</v>
      </c>
      <c r="I57" s="9">
        <f t="shared" ca="1" si="18"/>
        <v>2400</v>
      </c>
      <c r="J57" s="9">
        <f t="shared" ca="1" si="8"/>
        <v>2950</v>
      </c>
    </row>
    <row r="58" spans="1:10" x14ac:dyDescent="0.3">
      <c r="A58" s="7">
        <v>56</v>
      </c>
      <c r="B58" s="7">
        <f t="shared" si="12"/>
        <v>109</v>
      </c>
      <c r="C58" s="7">
        <f t="shared" ca="1" si="7"/>
        <v>102</v>
      </c>
      <c r="D58" s="7">
        <f t="shared" ca="1" si="13"/>
        <v>100</v>
      </c>
      <c r="E58" s="7">
        <f t="shared" ca="1" si="14"/>
        <v>2</v>
      </c>
      <c r="F58" s="8">
        <f t="shared" si="15"/>
        <v>16350</v>
      </c>
      <c r="G58" s="8">
        <f t="shared" si="16"/>
        <v>8000</v>
      </c>
      <c r="H58" s="9">
        <f t="shared" ca="1" si="17"/>
        <v>3000</v>
      </c>
      <c r="I58" s="9">
        <f t="shared" ca="1" si="18"/>
        <v>600</v>
      </c>
      <c r="J58" s="9">
        <f t="shared" ca="1" si="8"/>
        <v>4750</v>
      </c>
    </row>
    <row r="59" spans="1:10" x14ac:dyDescent="0.3">
      <c r="A59" s="7">
        <v>57</v>
      </c>
      <c r="B59" s="7">
        <f t="shared" si="12"/>
        <v>109</v>
      </c>
      <c r="C59" s="7">
        <f t="shared" ca="1" si="7"/>
        <v>103</v>
      </c>
      <c r="D59" s="7">
        <f t="shared" ca="1" si="13"/>
        <v>100</v>
      </c>
      <c r="E59" s="7">
        <f t="shared" ca="1" si="14"/>
        <v>3</v>
      </c>
      <c r="F59" s="8">
        <f t="shared" si="15"/>
        <v>16350</v>
      </c>
      <c r="G59" s="8">
        <f t="shared" si="16"/>
        <v>8000</v>
      </c>
      <c r="H59" s="9">
        <f t="shared" ca="1" si="17"/>
        <v>3000</v>
      </c>
      <c r="I59" s="9">
        <f t="shared" ca="1" si="18"/>
        <v>900</v>
      </c>
      <c r="J59" s="9">
        <f t="shared" ca="1" si="8"/>
        <v>4450</v>
      </c>
    </row>
    <row r="60" spans="1:10" x14ac:dyDescent="0.3">
      <c r="A60" s="7">
        <v>58</v>
      </c>
      <c r="B60" s="7">
        <f t="shared" si="12"/>
        <v>109</v>
      </c>
      <c r="C60" s="7">
        <f t="shared" ca="1" si="7"/>
        <v>103</v>
      </c>
      <c r="D60" s="7">
        <f t="shared" ca="1" si="13"/>
        <v>100</v>
      </c>
      <c r="E60" s="7">
        <f t="shared" ca="1" si="14"/>
        <v>3</v>
      </c>
      <c r="F60" s="8">
        <f t="shared" si="15"/>
        <v>16350</v>
      </c>
      <c r="G60" s="8">
        <f t="shared" si="16"/>
        <v>8000</v>
      </c>
      <c r="H60" s="9">
        <f t="shared" ca="1" si="17"/>
        <v>3000</v>
      </c>
      <c r="I60" s="9">
        <f t="shared" ca="1" si="18"/>
        <v>900</v>
      </c>
      <c r="J60" s="9">
        <f t="shared" ca="1" si="8"/>
        <v>4450</v>
      </c>
    </row>
    <row r="61" spans="1:10" x14ac:dyDescent="0.3">
      <c r="A61" s="7">
        <v>59</v>
      </c>
      <c r="B61" s="7">
        <f t="shared" si="12"/>
        <v>109</v>
      </c>
      <c r="C61" s="7">
        <f t="shared" ca="1" si="7"/>
        <v>101</v>
      </c>
      <c r="D61" s="7">
        <f t="shared" ca="1" si="13"/>
        <v>100</v>
      </c>
      <c r="E61" s="7">
        <f t="shared" ca="1" si="14"/>
        <v>1</v>
      </c>
      <c r="F61" s="8">
        <f t="shared" si="15"/>
        <v>16350</v>
      </c>
      <c r="G61" s="8">
        <f t="shared" si="16"/>
        <v>8000</v>
      </c>
      <c r="H61" s="9">
        <f t="shared" ca="1" si="17"/>
        <v>3000</v>
      </c>
      <c r="I61" s="9">
        <f t="shared" ca="1" si="18"/>
        <v>300</v>
      </c>
      <c r="J61" s="9">
        <f t="shared" ca="1" si="8"/>
        <v>5050</v>
      </c>
    </row>
    <row r="62" spans="1:10" x14ac:dyDescent="0.3">
      <c r="A62" s="7">
        <v>60</v>
      </c>
      <c r="B62" s="7">
        <f t="shared" si="12"/>
        <v>109</v>
      </c>
      <c r="C62" s="7">
        <f t="shared" ca="1" si="7"/>
        <v>103</v>
      </c>
      <c r="D62" s="7">
        <f t="shared" ca="1" si="13"/>
        <v>100</v>
      </c>
      <c r="E62" s="7">
        <f t="shared" ca="1" si="14"/>
        <v>3</v>
      </c>
      <c r="F62" s="8">
        <f t="shared" si="15"/>
        <v>16350</v>
      </c>
      <c r="G62" s="8">
        <f t="shared" si="16"/>
        <v>8000</v>
      </c>
      <c r="H62" s="9">
        <f t="shared" ca="1" si="17"/>
        <v>3000</v>
      </c>
      <c r="I62" s="9">
        <f t="shared" ca="1" si="18"/>
        <v>900</v>
      </c>
      <c r="J62" s="9">
        <f t="shared" ca="1" si="8"/>
        <v>4450</v>
      </c>
    </row>
    <row r="63" spans="1:10" x14ac:dyDescent="0.3">
      <c r="A63" s="7">
        <v>61</v>
      </c>
      <c r="B63" s="7">
        <f t="shared" si="12"/>
        <v>109</v>
      </c>
      <c r="C63" s="7">
        <f t="shared" ca="1" si="7"/>
        <v>102</v>
      </c>
      <c r="D63" s="7">
        <f t="shared" ca="1" si="13"/>
        <v>100</v>
      </c>
      <c r="E63" s="7">
        <f t="shared" ca="1" si="14"/>
        <v>2</v>
      </c>
      <c r="F63" s="8">
        <f t="shared" si="15"/>
        <v>16350</v>
      </c>
      <c r="G63" s="8">
        <f t="shared" si="16"/>
        <v>8000</v>
      </c>
      <c r="H63" s="9">
        <f t="shared" ca="1" si="17"/>
        <v>3000</v>
      </c>
      <c r="I63" s="9">
        <f t="shared" ca="1" si="18"/>
        <v>600</v>
      </c>
      <c r="J63" s="9">
        <f t="shared" ca="1" si="8"/>
        <v>4750</v>
      </c>
    </row>
    <row r="64" spans="1:10" x14ac:dyDescent="0.3">
      <c r="A64" s="7">
        <v>62</v>
      </c>
      <c r="B64" s="7">
        <f t="shared" si="12"/>
        <v>109</v>
      </c>
      <c r="C64" s="7">
        <f t="shared" ca="1" si="7"/>
        <v>103</v>
      </c>
      <c r="D64" s="7">
        <f t="shared" ca="1" si="13"/>
        <v>100</v>
      </c>
      <c r="E64" s="7">
        <f t="shared" ca="1" si="14"/>
        <v>3</v>
      </c>
      <c r="F64" s="8">
        <f t="shared" si="15"/>
        <v>16350</v>
      </c>
      <c r="G64" s="8">
        <f t="shared" si="16"/>
        <v>8000</v>
      </c>
      <c r="H64" s="9">
        <f t="shared" ca="1" si="17"/>
        <v>3000</v>
      </c>
      <c r="I64" s="9">
        <f t="shared" ca="1" si="18"/>
        <v>900</v>
      </c>
      <c r="J64" s="9">
        <f t="shared" ca="1" si="8"/>
        <v>4450</v>
      </c>
    </row>
    <row r="65" spans="1:10" x14ac:dyDescent="0.3">
      <c r="A65" s="7">
        <v>63</v>
      </c>
      <c r="B65" s="7">
        <f t="shared" si="12"/>
        <v>109</v>
      </c>
      <c r="C65" s="7">
        <f t="shared" ca="1" si="7"/>
        <v>104</v>
      </c>
      <c r="D65" s="7">
        <f t="shared" ca="1" si="13"/>
        <v>100</v>
      </c>
      <c r="E65" s="7">
        <f t="shared" ca="1" si="14"/>
        <v>4</v>
      </c>
      <c r="F65" s="8">
        <f t="shared" si="15"/>
        <v>16350</v>
      </c>
      <c r="G65" s="8">
        <f t="shared" si="16"/>
        <v>8000</v>
      </c>
      <c r="H65" s="9">
        <f t="shared" ca="1" si="17"/>
        <v>3000</v>
      </c>
      <c r="I65" s="9">
        <f t="shared" ca="1" si="18"/>
        <v>1200</v>
      </c>
      <c r="J65" s="9">
        <f t="shared" ca="1" si="8"/>
        <v>4150</v>
      </c>
    </row>
    <row r="66" spans="1:10" x14ac:dyDescent="0.3">
      <c r="A66" s="7">
        <v>64</v>
      </c>
      <c r="B66" s="7">
        <f t="shared" si="12"/>
        <v>109</v>
      </c>
      <c r="C66" s="7">
        <f t="shared" ca="1" si="7"/>
        <v>106</v>
      </c>
      <c r="D66" s="7">
        <f t="shared" ca="1" si="13"/>
        <v>100</v>
      </c>
      <c r="E66" s="7">
        <f t="shared" ca="1" si="14"/>
        <v>6</v>
      </c>
      <c r="F66" s="8">
        <f t="shared" si="15"/>
        <v>16350</v>
      </c>
      <c r="G66" s="8">
        <f t="shared" si="16"/>
        <v>8000</v>
      </c>
      <c r="H66" s="9">
        <f t="shared" ca="1" si="17"/>
        <v>3000</v>
      </c>
      <c r="I66" s="9">
        <f t="shared" ca="1" si="18"/>
        <v>1800</v>
      </c>
      <c r="J66" s="9">
        <f t="shared" ca="1" si="8"/>
        <v>3550</v>
      </c>
    </row>
    <row r="67" spans="1:10" x14ac:dyDescent="0.3">
      <c r="A67" s="7">
        <v>65</v>
      </c>
      <c r="B67" s="7">
        <f t="shared" ref="B67:B102" si="19">Trial_Reservations</f>
        <v>109</v>
      </c>
      <c r="C67" s="7">
        <f t="shared" ca="1" si="7"/>
        <v>106</v>
      </c>
      <c r="D67" s="7">
        <f t="shared" ref="D67:D98" ca="1" si="20">MIN(C67, Seats_available)</f>
        <v>100</v>
      </c>
      <c r="E67" s="7">
        <f t="shared" ref="E67:E102" ca="1" si="21">MAX(0, C67-Seats_available)</f>
        <v>6</v>
      </c>
      <c r="F67" s="8">
        <f t="shared" ref="F67:F102" si="22">B67*Ticket_cost</f>
        <v>16350</v>
      </c>
      <c r="G67" s="8">
        <f t="shared" ref="G67:G102" si="23">Empty_plane_cost</f>
        <v>8000</v>
      </c>
      <c r="H67" s="9">
        <f t="shared" ref="H67:H102" ca="1" si="24">D67*Cost_per_passenger</f>
        <v>3000</v>
      </c>
      <c r="I67" s="9">
        <f t="shared" ref="I67:I102" ca="1" si="25">E67*Overbooking_refund_per_passenger</f>
        <v>1800</v>
      </c>
      <c r="J67" s="9">
        <f t="shared" ca="1" si="8"/>
        <v>3550</v>
      </c>
    </row>
    <row r="68" spans="1:10" x14ac:dyDescent="0.3">
      <c r="A68" s="7">
        <v>66</v>
      </c>
      <c r="B68" s="7">
        <f t="shared" si="19"/>
        <v>109</v>
      </c>
      <c r="C68" s="7">
        <f t="shared" ca="1" si="7"/>
        <v>99</v>
      </c>
      <c r="D68" s="7">
        <f t="shared" ca="1" si="20"/>
        <v>99</v>
      </c>
      <c r="E68" s="7">
        <f t="shared" ca="1" si="21"/>
        <v>0</v>
      </c>
      <c r="F68" s="8">
        <f t="shared" si="22"/>
        <v>16350</v>
      </c>
      <c r="G68" s="8">
        <f t="shared" si="23"/>
        <v>8000</v>
      </c>
      <c r="H68" s="9">
        <f t="shared" ca="1" si="24"/>
        <v>2970</v>
      </c>
      <c r="I68" s="9">
        <f t="shared" ca="1" si="25"/>
        <v>0</v>
      </c>
      <c r="J68" s="9">
        <f t="shared" ca="1" si="8"/>
        <v>5380</v>
      </c>
    </row>
    <row r="69" spans="1:10" x14ac:dyDescent="0.3">
      <c r="A69" s="7">
        <v>67</v>
      </c>
      <c r="B69" s="7">
        <f t="shared" si="19"/>
        <v>109</v>
      </c>
      <c r="C69" s="7">
        <f t="shared" ref="C69:C100" ca="1" si="26">_xlfn.BINOM.INV($B$3, 0.95, RAND())</f>
        <v>100</v>
      </c>
      <c r="D69" s="7">
        <f t="shared" ca="1" si="20"/>
        <v>100</v>
      </c>
      <c r="E69" s="7">
        <f t="shared" ca="1" si="21"/>
        <v>0</v>
      </c>
      <c r="F69" s="8">
        <f t="shared" si="22"/>
        <v>16350</v>
      </c>
      <c r="G69" s="8">
        <f t="shared" si="23"/>
        <v>8000</v>
      </c>
      <c r="H69" s="9">
        <f t="shared" ca="1" si="24"/>
        <v>3000</v>
      </c>
      <c r="I69" s="9">
        <f t="shared" ca="1" si="25"/>
        <v>0</v>
      </c>
      <c r="J69" s="9">
        <f t="shared" ref="J69:J100" ca="1" si="27">F69-G69-H69-I69</f>
        <v>5350</v>
      </c>
    </row>
    <row r="70" spans="1:10" x14ac:dyDescent="0.3">
      <c r="A70" s="7">
        <v>68</v>
      </c>
      <c r="B70" s="7">
        <f t="shared" si="19"/>
        <v>109</v>
      </c>
      <c r="C70" s="7">
        <f t="shared" ca="1" si="26"/>
        <v>106</v>
      </c>
      <c r="D70" s="7">
        <f t="shared" ca="1" si="20"/>
        <v>100</v>
      </c>
      <c r="E70" s="7">
        <f t="shared" ca="1" si="21"/>
        <v>6</v>
      </c>
      <c r="F70" s="8">
        <f t="shared" si="22"/>
        <v>16350</v>
      </c>
      <c r="G70" s="8">
        <f t="shared" si="23"/>
        <v>8000</v>
      </c>
      <c r="H70" s="9">
        <f t="shared" ca="1" si="24"/>
        <v>3000</v>
      </c>
      <c r="I70" s="9">
        <f t="shared" ca="1" si="25"/>
        <v>1800</v>
      </c>
      <c r="J70" s="9">
        <f t="shared" ca="1" si="27"/>
        <v>3550</v>
      </c>
    </row>
    <row r="71" spans="1:10" x14ac:dyDescent="0.3">
      <c r="A71" s="7">
        <v>69</v>
      </c>
      <c r="B71" s="7">
        <f t="shared" si="19"/>
        <v>109</v>
      </c>
      <c r="C71" s="7">
        <f t="shared" ca="1" si="26"/>
        <v>106</v>
      </c>
      <c r="D71" s="7">
        <f t="shared" ca="1" si="20"/>
        <v>100</v>
      </c>
      <c r="E71" s="7">
        <f t="shared" ca="1" si="21"/>
        <v>6</v>
      </c>
      <c r="F71" s="8">
        <f t="shared" si="22"/>
        <v>16350</v>
      </c>
      <c r="G71" s="8">
        <f t="shared" si="23"/>
        <v>8000</v>
      </c>
      <c r="H71" s="9">
        <f t="shared" ca="1" si="24"/>
        <v>3000</v>
      </c>
      <c r="I71" s="9">
        <f t="shared" ca="1" si="25"/>
        <v>1800</v>
      </c>
      <c r="J71" s="9">
        <f t="shared" ca="1" si="27"/>
        <v>3550</v>
      </c>
    </row>
    <row r="72" spans="1:10" x14ac:dyDescent="0.3">
      <c r="A72" s="7">
        <v>70</v>
      </c>
      <c r="B72" s="7">
        <f t="shared" si="19"/>
        <v>109</v>
      </c>
      <c r="C72" s="7">
        <f t="shared" ca="1" si="26"/>
        <v>105</v>
      </c>
      <c r="D72" s="7">
        <f t="shared" ca="1" si="20"/>
        <v>100</v>
      </c>
      <c r="E72" s="7">
        <f t="shared" ca="1" si="21"/>
        <v>5</v>
      </c>
      <c r="F72" s="8">
        <f t="shared" si="22"/>
        <v>16350</v>
      </c>
      <c r="G72" s="8">
        <f t="shared" si="23"/>
        <v>8000</v>
      </c>
      <c r="H72" s="9">
        <f t="shared" ca="1" si="24"/>
        <v>3000</v>
      </c>
      <c r="I72" s="9">
        <f t="shared" ca="1" si="25"/>
        <v>1500</v>
      </c>
      <c r="J72" s="9">
        <f t="shared" ca="1" si="27"/>
        <v>3850</v>
      </c>
    </row>
    <row r="73" spans="1:10" x14ac:dyDescent="0.3">
      <c r="A73" s="7">
        <v>71</v>
      </c>
      <c r="B73" s="7">
        <f t="shared" si="19"/>
        <v>109</v>
      </c>
      <c r="C73" s="7">
        <f t="shared" ca="1" si="26"/>
        <v>106</v>
      </c>
      <c r="D73" s="7">
        <f t="shared" ca="1" si="20"/>
        <v>100</v>
      </c>
      <c r="E73" s="7">
        <f t="shared" ca="1" si="21"/>
        <v>6</v>
      </c>
      <c r="F73" s="8">
        <f t="shared" si="22"/>
        <v>16350</v>
      </c>
      <c r="G73" s="8">
        <f t="shared" si="23"/>
        <v>8000</v>
      </c>
      <c r="H73" s="9">
        <f t="shared" ca="1" si="24"/>
        <v>3000</v>
      </c>
      <c r="I73" s="9">
        <f t="shared" ca="1" si="25"/>
        <v>1800</v>
      </c>
      <c r="J73" s="9">
        <f t="shared" ca="1" si="27"/>
        <v>3550</v>
      </c>
    </row>
    <row r="74" spans="1:10" x14ac:dyDescent="0.3">
      <c r="A74" s="7">
        <v>72</v>
      </c>
      <c r="B74" s="7">
        <f t="shared" si="19"/>
        <v>109</v>
      </c>
      <c r="C74" s="7">
        <f t="shared" ca="1" si="26"/>
        <v>103</v>
      </c>
      <c r="D74" s="7">
        <f t="shared" ca="1" si="20"/>
        <v>100</v>
      </c>
      <c r="E74" s="7">
        <f t="shared" ca="1" si="21"/>
        <v>3</v>
      </c>
      <c r="F74" s="8">
        <f t="shared" si="22"/>
        <v>16350</v>
      </c>
      <c r="G74" s="8">
        <f t="shared" si="23"/>
        <v>8000</v>
      </c>
      <c r="H74" s="9">
        <f t="shared" ca="1" si="24"/>
        <v>3000</v>
      </c>
      <c r="I74" s="9">
        <f t="shared" ca="1" si="25"/>
        <v>900</v>
      </c>
      <c r="J74" s="9">
        <f t="shared" ca="1" si="27"/>
        <v>4450</v>
      </c>
    </row>
    <row r="75" spans="1:10" x14ac:dyDescent="0.3">
      <c r="A75" s="7">
        <v>73</v>
      </c>
      <c r="B75" s="7">
        <f t="shared" si="19"/>
        <v>109</v>
      </c>
      <c r="C75" s="7">
        <f t="shared" ca="1" si="26"/>
        <v>101</v>
      </c>
      <c r="D75" s="7">
        <f t="shared" ca="1" si="20"/>
        <v>100</v>
      </c>
      <c r="E75" s="7">
        <f t="shared" ca="1" si="21"/>
        <v>1</v>
      </c>
      <c r="F75" s="8">
        <f t="shared" si="22"/>
        <v>16350</v>
      </c>
      <c r="G75" s="8">
        <f t="shared" si="23"/>
        <v>8000</v>
      </c>
      <c r="H75" s="9">
        <f t="shared" ca="1" si="24"/>
        <v>3000</v>
      </c>
      <c r="I75" s="9">
        <f t="shared" ca="1" si="25"/>
        <v>300</v>
      </c>
      <c r="J75" s="9">
        <f t="shared" ca="1" si="27"/>
        <v>5050</v>
      </c>
    </row>
    <row r="76" spans="1:10" x14ac:dyDescent="0.3">
      <c r="A76" s="7">
        <v>74</v>
      </c>
      <c r="B76" s="7">
        <f t="shared" si="19"/>
        <v>109</v>
      </c>
      <c r="C76" s="7">
        <f t="shared" ca="1" si="26"/>
        <v>102</v>
      </c>
      <c r="D76" s="7">
        <f t="shared" ca="1" si="20"/>
        <v>100</v>
      </c>
      <c r="E76" s="7">
        <f t="shared" ca="1" si="21"/>
        <v>2</v>
      </c>
      <c r="F76" s="8">
        <f t="shared" si="22"/>
        <v>16350</v>
      </c>
      <c r="G76" s="8">
        <f t="shared" si="23"/>
        <v>8000</v>
      </c>
      <c r="H76" s="9">
        <f t="shared" ca="1" si="24"/>
        <v>3000</v>
      </c>
      <c r="I76" s="9">
        <f t="shared" ca="1" si="25"/>
        <v>600</v>
      </c>
      <c r="J76" s="9">
        <f t="shared" ca="1" si="27"/>
        <v>4750</v>
      </c>
    </row>
    <row r="77" spans="1:10" x14ac:dyDescent="0.3">
      <c r="A77" s="7">
        <v>75</v>
      </c>
      <c r="B77" s="7">
        <f t="shared" si="19"/>
        <v>109</v>
      </c>
      <c r="C77" s="7">
        <f t="shared" ca="1" si="26"/>
        <v>105</v>
      </c>
      <c r="D77" s="7">
        <f t="shared" ca="1" si="20"/>
        <v>100</v>
      </c>
      <c r="E77" s="7">
        <f t="shared" ca="1" si="21"/>
        <v>5</v>
      </c>
      <c r="F77" s="8">
        <f t="shared" si="22"/>
        <v>16350</v>
      </c>
      <c r="G77" s="8">
        <f t="shared" si="23"/>
        <v>8000</v>
      </c>
      <c r="H77" s="9">
        <f t="shared" ca="1" si="24"/>
        <v>3000</v>
      </c>
      <c r="I77" s="9">
        <f t="shared" ca="1" si="25"/>
        <v>1500</v>
      </c>
      <c r="J77" s="9">
        <f t="shared" ca="1" si="27"/>
        <v>3850</v>
      </c>
    </row>
    <row r="78" spans="1:10" x14ac:dyDescent="0.3">
      <c r="A78" s="7">
        <v>76</v>
      </c>
      <c r="B78" s="7">
        <f t="shared" si="19"/>
        <v>109</v>
      </c>
      <c r="C78" s="7">
        <f t="shared" ca="1" si="26"/>
        <v>102</v>
      </c>
      <c r="D78" s="7">
        <f t="shared" ca="1" si="20"/>
        <v>100</v>
      </c>
      <c r="E78" s="7">
        <f t="shared" ca="1" si="21"/>
        <v>2</v>
      </c>
      <c r="F78" s="8">
        <f t="shared" si="22"/>
        <v>16350</v>
      </c>
      <c r="G78" s="8">
        <f t="shared" si="23"/>
        <v>8000</v>
      </c>
      <c r="H78" s="9">
        <f t="shared" ca="1" si="24"/>
        <v>3000</v>
      </c>
      <c r="I78" s="9">
        <f t="shared" ca="1" si="25"/>
        <v>600</v>
      </c>
      <c r="J78" s="9">
        <f t="shared" ca="1" si="27"/>
        <v>4750</v>
      </c>
    </row>
    <row r="79" spans="1:10" x14ac:dyDescent="0.3">
      <c r="A79" s="7">
        <v>77</v>
      </c>
      <c r="B79" s="7">
        <f t="shared" si="19"/>
        <v>109</v>
      </c>
      <c r="C79" s="7">
        <f t="shared" ca="1" si="26"/>
        <v>104</v>
      </c>
      <c r="D79" s="7">
        <f t="shared" ca="1" si="20"/>
        <v>100</v>
      </c>
      <c r="E79" s="7">
        <f t="shared" ca="1" si="21"/>
        <v>4</v>
      </c>
      <c r="F79" s="8">
        <f t="shared" si="22"/>
        <v>16350</v>
      </c>
      <c r="G79" s="8">
        <f t="shared" si="23"/>
        <v>8000</v>
      </c>
      <c r="H79" s="9">
        <f t="shared" ca="1" si="24"/>
        <v>3000</v>
      </c>
      <c r="I79" s="9">
        <f t="shared" ca="1" si="25"/>
        <v>1200</v>
      </c>
      <c r="J79" s="9">
        <f t="shared" ca="1" si="27"/>
        <v>4150</v>
      </c>
    </row>
    <row r="80" spans="1:10" x14ac:dyDescent="0.3">
      <c r="A80" s="7">
        <v>78</v>
      </c>
      <c r="B80" s="7">
        <f t="shared" si="19"/>
        <v>109</v>
      </c>
      <c r="C80" s="7">
        <f t="shared" ca="1" si="26"/>
        <v>102</v>
      </c>
      <c r="D80" s="7">
        <f t="shared" ca="1" si="20"/>
        <v>100</v>
      </c>
      <c r="E80" s="7">
        <f t="shared" ca="1" si="21"/>
        <v>2</v>
      </c>
      <c r="F80" s="8">
        <f t="shared" si="22"/>
        <v>16350</v>
      </c>
      <c r="G80" s="8">
        <f t="shared" si="23"/>
        <v>8000</v>
      </c>
      <c r="H80" s="9">
        <f t="shared" ca="1" si="24"/>
        <v>3000</v>
      </c>
      <c r="I80" s="9">
        <f t="shared" ca="1" si="25"/>
        <v>600</v>
      </c>
      <c r="J80" s="9">
        <f t="shared" ca="1" si="27"/>
        <v>4750</v>
      </c>
    </row>
    <row r="81" spans="1:10" x14ac:dyDescent="0.3">
      <c r="A81" s="7">
        <v>79</v>
      </c>
      <c r="B81" s="7">
        <f t="shared" si="19"/>
        <v>109</v>
      </c>
      <c r="C81" s="7">
        <f t="shared" ca="1" si="26"/>
        <v>106</v>
      </c>
      <c r="D81" s="7">
        <f t="shared" ca="1" si="20"/>
        <v>100</v>
      </c>
      <c r="E81" s="7">
        <f t="shared" ca="1" si="21"/>
        <v>6</v>
      </c>
      <c r="F81" s="8">
        <f t="shared" si="22"/>
        <v>16350</v>
      </c>
      <c r="G81" s="8">
        <f t="shared" si="23"/>
        <v>8000</v>
      </c>
      <c r="H81" s="9">
        <f t="shared" ca="1" si="24"/>
        <v>3000</v>
      </c>
      <c r="I81" s="9">
        <f t="shared" ca="1" si="25"/>
        <v>1800</v>
      </c>
      <c r="J81" s="9">
        <f t="shared" ca="1" si="27"/>
        <v>3550</v>
      </c>
    </row>
    <row r="82" spans="1:10" x14ac:dyDescent="0.3">
      <c r="A82" s="7">
        <v>80</v>
      </c>
      <c r="B82" s="7">
        <f t="shared" si="19"/>
        <v>109</v>
      </c>
      <c r="C82" s="7">
        <f t="shared" ca="1" si="26"/>
        <v>106</v>
      </c>
      <c r="D82" s="7">
        <f t="shared" ca="1" si="20"/>
        <v>100</v>
      </c>
      <c r="E82" s="7">
        <f t="shared" ca="1" si="21"/>
        <v>6</v>
      </c>
      <c r="F82" s="8">
        <f t="shared" si="22"/>
        <v>16350</v>
      </c>
      <c r="G82" s="8">
        <f t="shared" si="23"/>
        <v>8000</v>
      </c>
      <c r="H82" s="9">
        <f t="shared" ca="1" si="24"/>
        <v>3000</v>
      </c>
      <c r="I82" s="9">
        <f t="shared" ca="1" si="25"/>
        <v>1800</v>
      </c>
      <c r="J82" s="9">
        <f t="shared" ca="1" si="27"/>
        <v>3550</v>
      </c>
    </row>
    <row r="83" spans="1:10" x14ac:dyDescent="0.3">
      <c r="A83" s="7">
        <v>81</v>
      </c>
      <c r="B83" s="7">
        <f t="shared" si="19"/>
        <v>109</v>
      </c>
      <c r="C83" s="7">
        <f t="shared" ca="1" si="26"/>
        <v>107</v>
      </c>
      <c r="D83" s="7">
        <f t="shared" ca="1" si="20"/>
        <v>100</v>
      </c>
      <c r="E83" s="7">
        <f t="shared" ca="1" si="21"/>
        <v>7</v>
      </c>
      <c r="F83" s="8">
        <f t="shared" si="22"/>
        <v>16350</v>
      </c>
      <c r="G83" s="8">
        <f t="shared" si="23"/>
        <v>8000</v>
      </c>
      <c r="H83" s="9">
        <f t="shared" ca="1" si="24"/>
        <v>3000</v>
      </c>
      <c r="I83" s="9">
        <f t="shared" ca="1" si="25"/>
        <v>2100</v>
      </c>
      <c r="J83" s="9">
        <f t="shared" ca="1" si="27"/>
        <v>3250</v>
      </c>
    </row>
    <row r="84" spans="1:10" x14ac:dyDescent="0.3">
      <c r="A84" s="7">
        <v>82</v>
      </c>
      <c r="B84" s="7">
        <f t="shared" si="19"/>
        <v>109</v>
      </c>
      <c r="C84" s="7">
        <f t="shared" ca="1" si="26"/>
        <v>102</v>
      </c>
      <c r="D84" s="7">
        <f t="shared" ca="1" si="20"/>
        <v>100</v>
      </c>
      <c r="E84" s="7">
        <f t="shared" ca="1" si="21"/>
        <v>2</v>
      </c>
      <c r="F84" s="8">
        <f t="shared" si="22"/>
        <v>16350</v>
      </c>
      <c r="G84" s="8">
        <f t="shared" si="23"/>
        <v>8000</v>
      </c>
      <c r="H84" s="9">
        <f t="shared" ca="1" si="24"/>
        <v>3000</v>
      </c>
      <c r="I84" s="9">
        <f t="shared" ca="1" si="25"/>
        <v>600</v>
      </c>
      <c r="J84" s="9">
        <f t="shared" ca="1" si="27"/>
        <v>4750</v>
      </c>
    </row>
    <row r="85" spans="1:10" x14ac:dyDescent="0.3">
      <c r="A85" s="7">
        <v>83</v>
      </c>
      <c r="B85" s="7">
        <f t="shared" si="19"/>
        <v>109</v>
      </c>
      <c r="C85" s="7">
        <f t="shared" ca="1" si="26"/>
        <v>105</v>
      </c>
      <c r="D85" s="7">
        <f t="shared" ca="1" si="20"/>
        <v>100</v>
      </c>
      <c r="E85" s="7">
        <f t="shared" ca="1" si="21"/>
        <v>5</v>
      </c>
      <c r="F85" s="8">
        <f t="shared" si="22"/>
        <v>16350</v>
      </c>
      <c r="G85" s="8">
        <f t="shared" si="23"/>
        <v>8000</v>
      </c>
      <c r="H85" s="9">
        <f t="shared" ca="1" si="24"/>
        <v>3000</v>
      </c>
      <c r="I85" s="9">
        <f t="shared" ca="1" si="25"/>
        <v>1500</v>
      </c>
      <c r="J85" s="9">
        <f t="shared" ca="1" si="27"/>
        <v>3850</v>
      </c>
    </row>
    <row r="86" spans="1:10" x14ac:dyDescent="0.3">
      <c r="A86" s="7">
        <v>84</v>
      </c>
      <c r="B86" s="7">
        <f t="shared" si="19"/>
        <v>109</v>
      </c>
      <c r="C86" s="7">
        <f t="shared" ca="1" si="26"/>
        <v>101</v>
      </c>
      <c r="D86" s="7">
        <f t="shared" ca="1" si="20"/>
        <v>100</v>
      </c>
      <c r="E86" s="7">
        <f t="shared" ca="1" si="21"/>
        <v>1</v>
      </c>
      <c r="F86" s="8">
        <f t="shared" si="22"/>
        <v>16350</v>
      </c>
      <c r="G86" s="8">
        <f t="shared" si="23"/>
        <v>8000</v>
      </c>
      <c r="H86" s="9">
        <f t="shared" ca="1" si="24"/>
        <v>3000</v>
      </c>
      <c r="I86" s="9">
        <f t="shared" ca="1" si="25"/>
        <v>300</v>
      </c>
      <c r="J86" s="9">
        <f t="shared" ca="1" si="27"/>
        <v>5050</v>
      </c>
    </row>
    <row r="87" spans="1:10" x14ac:dyDescent="0.3">
      <c r="A87" s="7">
        <v>85</v>
      </c>
      <c r="B87" s="7">
        <f t="shared" si="19"/>
        <v>109</v>
      </c>
      <c r="C87" s="7">
        <f t="shared" ca="1" si="26"/>
        <v>102</v>
      </c>
      <c r="D87" s="7">
        <f t="shared" ca="1" si="20"/>
        <v>100</v>
      </c>
      <c r="E87" s="7">
        <f t="shared" ca="1" si="21"/>
        <v>2</v>
      </c>
      <c r="F87" s="8">
        <f t="shared" si="22"/>
        <v>16350</v>
      </c>
      <c r="G87" s="8">
        <f t="shared" si="23"/>
        <v>8000</v>
      </c>
      <c r="H87" s="9">
        <f t="shared" ca="1" si="24"/>
        <v>3000</v>
      </c>
      <c r="I87" s="9">
        <f t="shared" ca="1" si="25"/>
        <v>600</v>
      </c>
      <c r="J87" s="9">
        <f t="shared" ca="1" si="27"/>
        <v>4750</v>
      </c>
    </row>
    <row r="88" spans="1:10" x14ac:dyDescent="0.3">
      <c r="A88" s="7">
        <v>86</v>
      </c>
      <c r="B88" s="7">
        <f t="shared" si="19"/>
        <v>109</v>
      </c>
      <c r="C88" s="7">
        <f t="shared" ca="1" si="26"/>
        <v>106</v>
      </c>
      <c r="D88" s="7">
        <f t="shared" ca="1" si="20"/>
        <v>100</v>
      </c>
      <c r="E88" s="7">
        <f t="shared" ca="1" si="21"/>
        <v>6</v>
      </c>
      <c r="F88" s="8">
        <f t="shared" si="22"/>
        <v>16350</v>
      </c>
      <c r="G88" s="8">
        <f t="shared" si="23"/>
        <v>8000</v>
      </c>
      <c r="H88" s="9">
        <f t="shared" ca="1" si="24"/>
        <v>3000</v>
      </c>
      <c r="I88" s="9">
        <f t="shared" ca="1" si="25"/>
        <v>1800</v>
      </c>
      <c r="J88" s="9">
        <f t="shared" ca="1" si="27"/>
        <v>3550</v>
      </c>
    </row>
    <row r="89" spans="1:10" x14ac:dyDescent="0.3">
      <c r="A89" s="7">
        <v>87</v>
      </c>
      <c r="B89" s="7">
        <f t="shared" si="19"/>
        <v>109</v>
      </c>
      <c r="C89" s="7">
        <f t="shared" ca="1" si="26"/>
        <v>103</v>
      </c>
      <c r="D89" s="7">
        <f t="shared" ca="1" si="20"/>
        <v>100</v>
      </c>
      <c r="E89" s="7">
        <f t="shared" ca="1" si="21"/>
        <v>3</v>
      </c>
      <c r="F89" s="8">
        <f t="shared" si="22"/>
        <v>16350</v>
      </c>
      <c r="G89" s="8">
        <f t="shared" si="23"/>
        <v>8000</v>
      </c>
      <c r="H89" s="9">
        <f t="shared" ca="1" si="24"/>
        <v>3000</v>
      </c>
      <c r="I89" s="9">
        <f t="shared" ca="1" si="25"/>
        <v>900</v>
      </c>
      <c r="J89" s="9">
        <f t="shared" ca="1" si="27"/>
        <v>4450</v>
      </c>
    </row>
    <row r="90" spans="1:10" x14ac:dyDescent="0.3">
      <c r="A90" s="7">
        <v>88</v>
      </c>
      <c r="B90" s="7">
        <f t="shared" si="19"/>
        <v>109</v>
      </c>
      <c r="C90" s="7">
        <f t="shared" ca="1" si="26"/>
        <v>106</v>
      </c>
      <c r="D90" s="7">
        <f t="shared" ca="1" si="20"/>
        <v>100</v>
      </c>
      <c r="E90" s="7">
        <f t="shared" ca="1" si="21"/>
        <v>6</v>
      </c>
      <c r="F90" s="8">
        <f t="shared" si="22"/>
        <v>16350</v>
      </c>
      <c r="G90" s="8">
        <f t="shared" si="23"/>
        <v>8000</v>
      </c>
      <c r="H90" s="9">
        <f t="shared" ca="1" si="24"/>
        <v>3000</v>
      </c>
      <c r="I90" s="9">
        <f t="shared" ca="1" si="25"/>
        <v>1800</v>
      </c>
      <c r="J90" s="9">
        <f t="shared" ca="1" si="27"/>
        <v>3550</v>
      </c>
    </row>
    <row r="91" spans="1:10" x14ac:dyDescent="0.3">
      <c r="A91" s="7">
        <v>89</v>
      </c>
      <c r="B91" s="7">
        <f t="shared" si="19"/>
        <v>109</v>
      </c>
      <c r="C91" s="7">
        <f t="shared" ca="1" si="26"/>
        <v>102</v>
      </c>
      <c r="D91" s="7">
        <f t="shared" ca="1" si="20"/>
        <v>100</v>
      </c>
      <c r="E91" s="7">
        <f t="shared" ca="1" si="21"/>
        <v>2</v>
      </c>
      <c r="F91" s="8">
        <f t="shared" si="22"/>
        <v>16350</v>
      </c>
      <c r="G91" s="8">
        <f t="shared" si="23"/>
        <v>8000</v>
      </c>
      <c r="H91" s="9">
        <f t="shared" ca="1" si="24"/>
        <v>3000</v>
      </c>
      <c r="I91" s="9">
        <f t="shared" ca="1" si="25"/>
        <v>600</v>
      </c>
      <c r="J91" s="9">
        <f t="shared" ca="1" si="27"/>
        <v>4750</v>
      </c>
    </row>
    <row r="92" spans="1:10" x14ac:dyDescent="0.3">
      <c r="A92" s="7">
        <v>90</v>
      </c>
      <c r="B92" s="7">
        <f t="shared" si="19"/>
        <v>109</v>
      </c>
      <c r="C92" s="7">
        <f t="shared" ca="1" si="26"/>
        <v>105</v>
      </c>
      <c r="D92" s="7">
        <f t="shared" ca="1" si="20"/>
        <v>100</v>
      </c>
      <c r="E92" s="7">
        <f t="shared" ca="1" si="21"/>
        <v>5</v>
      </c>
      <c r="F92" s="8">
        <f t="shared" si="22"/>
        <v>16350</v>
      </c>
      <c r="G92" s="8">
        <f t="shared" si="23"/>
        <v>8000</v>
      </c>
      <c r="H92" s="9">
        <f t="shared" ca="1" si="24"/>
        <v>3000</v>
      </c>
      <c r="I92" s="9">
        <f t="shared" ca="1" si="25"/>
        <v>1500</v>
      </c>
      <c r="J92" s="9">
        <f t="shared" ca="1" si="27"/>
        <v>3850</v>
      </c>
    </row>
    <row r="93" spans="1:10" x14ac:dyDescent="0.3">
      <c r="A93" s="7">
        <v>91</v>
      </c>
      <c r="B93" s="7">
        <f t="shared" si="19"/>
        <v>109</v>
      </c>
      <c r="C93" s="7">
        <f t="shared" ca="1" si="26"/>
        <v>105</v>
      </c>
      <c r="D93" s="7">
        <f t="shared" ca="1" si="20"/>
        <v>100</v>
      </c>
      <c r="E93" s="7">
        <f t="shared" ca="1" si="21"/>
        <v>5</v>
      </c>
      <c r="F93" s="8">
        <f t="shared" si="22"/>
        <v>16350</v>
      </c>
      <c r="G93" s="8">
        <f t="shared" si="23"/>
        <v>8000</v>
      </c>
      <c r="H93" s="9">
        <f t="shared" ca="1" si="24"/>
        <v>3000</v>
      </c>
      <c r="I93" s="9">
        <f t="shared" ca="1" si="25"/>
        <v>1500</v>
      </c>
      <c r="J93" s="9">
        <f t="shared" ca="1" si="27"/>
        <v>3850</v>
      </c>
    </row>
    <row r="94" spans="1:10" x14ac:dyDescent="0.3">
      <c r="A94" s="7">
        <v>92</v>
      </c>
      <c r="B94" s="7">
        <f t="shared" si="19"/>
        <v>109</v>
      </c>
      <c r="C94" s="7">
        <f t="shared" ca="1" si="26"/>
        <v>108</v>
      </c>
      <c r="D94" s="7">
        <f t="shared" ca="1" si="20"/>
        <v>100</v>
      </c>
      <c r="E94" s="7">
        <f t="shared" ca="1" si="21"/>
        <v>8</v>
      </c>
      <c r="F94" s="8">
        <f t="shared" si="22"/>
        <v>16350</v>
      </c>
      <c r="G94" s="8">
        <f t="shared" si="23"/>
        <v>8000</v>
      </c>
      <c r="H94" s="9">
        <f t="shared" ca="1" si="24"/>
        <v>3000</v>
      </c>
      <c r="I94" s="9">
        <f t="shared" ca="1" si="25"/>
        <v>2400</v>
      </c>
      <c r="J94" s="9">
        <f t="shared" ca="1" si="27"/>
        <v>2950</v>
      </c>
    </row>
    <row r="95" spans="1:10" x14ac:dyDescent="0.3">
      <c r="A95" s="7">
        <v>93</v>
      </c>
      <c r="B95" s="7">
        <f t="shared" si="19"/>
        <v>109</v>
      </c>
      <c r="C95" s="7">
        <f t="shared" ca="1" si="26"/>
        <v>101</v>
      </c>
      <c r="D95" s="7">
        <f t="shared" ca="1" si="20"/>
        <v>100</v>
      </c>
      <c r="E95" s="7">
        <f t="shared" ca="1" si="21"/>
        <v>1</v>
      </c>
      <c r="F95" s="8">
        <f t="shared" si="22"/>
        <v>16350</v>
      </c>
      <c r="G95" s="8">
        <f t="shared" si="23"/>
        <v>8000</v>
      </c>
      <c r="H95" s="9">
        <f t="shared" ca="1" si="24"/>
        <v>3000</v>
      </c>
      <c r="I95" s="9">
        <f t="shared" ca="1" si="25"/>
        <v>300</v>
      </c>
      <c r="J95" s="9">
        <f t="shared" ca="1" si="27"/>
        <v>5050</v>
      </c>
    </row>
    <row r="96" spans="1:10" x14ac:dyDescent="0.3">
      <c r="A96" s="7">
        <v>94</v>
      </c>
      <c r="B96" s="7">
        <f t="shared" si="19"/>
        <v>109</v>
      </c>
      <c r="C96" s="7">
        <f t="shared" ca="1" si="26"/>
        <v>101</v>
      </c>
      <c r="D96" s="7">
        <f t="shared" ca="1" si="20"/>
        <v>100</v>
      </c>
      <c r="E96" s="7">
        <f t="shared" ca="1" si="21"/>
        <v>1</v>
      </c>
      <c r="F96" s="8">
        <f t="shared" si="22"/>
        <v>16350</v>
      </c>
      <c r="G96" s="8">
        <f t="shared" si="23"/>
        <v>8000</v>
      </c>
      <c r="H96" s="9">
        <f t="shared" ca="1" si="24"/>
        <v>3000</v>
      </c>
      <c r="I96" s="9">
        <f t="shared" ca="1" si="25"/>
        <v>300</v>
      </c>
      <c r="J96" s="9">
        <f t="shared" ca="1" si="27"/>
        <v>5050</v>
      </c>
    </row>
    <row r="97" spans="1:10" x14ac:dyDescent="0.3">
      <c r="A97" s="7">
        <v>95</v>
      </c>
      <c r="B97" s="7">
        <f t="shared" si="19"/>
        <v>109</v>
      </c>
      <c r="C97" s="7">
        <f t="shared" ca="1" si="26"/>
        <v>104</v>
      </c>
      <c r="D97" s="7">
        <f t="shared" ca="1" si="20"/>
        <v>100</v>
      </c>
      <c r="E97" s="7">
        <f t="shared" ca="1" si="21"/>
        <v>4</v>
      </c>
      <c r="F97" s="8">
        <f t="shared" si="22"/>
        <v>16350</v>
      </c>
      <c r="G97" s="8">
        <f t="shared" si="23"/>
        <v>8000</v>
      </c>
      <c r="H97" s="9">
        <f t="shared" ca="1" si="24"/>
        <v>3000</v>
      </c>
      <c r="I97" s="9">
        <f t="shared" ca="1" si="25"/>
        <v>1200</v>
      </c>
      <c r="J97" s="9">
        <f t="shared" ca="1" si="27"/>
        <v>4150</v>
      </c>
    </row>
    <row r="98" spans="1:10" x14ac:dyDescent="0.3">
      <c r="A98" s="7">
        <v>96</v>
      </c>
      <c r="B98" s="7">
        <f t="shared" si="19"/>
        <v>109</v>
      </c>
      <c r="C98" s="7">
        <f t="shared" ca="1" si="26"/>
        <v>102</v>
      </c>
      <c r="D98" s="7">
        <f t="shared" ca="1" si="20"/>
        <v>100</v>
      </c>
      <c r="E98" s="7">
        <f t="shared" ca="1" si="21"/>
        <v>2</v>
      </c>
      <c r="F98" s="8">
        <f t="shared" si="22"/>
        <v>16350</v>
      </c>
      <c r="G98" s="8">
        <f t="shared" si="23"/>
        <v>8000</v>
      </c>
      <c r="H98" s="9">
        <f t="shared" ca="1" si="24"/>
        <v>3000</v>
      </c>
      <c r="I98" s="9">
        <f t="shared" ca="1" si="25"/>
        <v>600</v>
      </c>
      <c r="J98" s="9">
        <f t="shared" ca="1" si="27"/>
        <v>4750</v>
      </c>
    </row>
    <row r="99" spans="1:10" x14ac:dyDescent="0.3">
      <c r="A99" s="7">
        <v>97</v>
      </c>
      <c r="B99" s="7">
        <f t="shared" si="19"/>
        <v>109</v>
      </c>
      <c r="C99" s="7">
        <f t="shared" ca="1" si="26"/>
        <v>103</v>
      </c>
      <c r="D99" s="7">
        <f t="shared" ref="D99:D102" ca="1" si="28">MIN(C99, Seats_available)</f>
        <v>100</v>
      </c>
      <c r="E99" s="7">
        <f t="shared" ca="1" si="21"/>
        <v>3</v>
      </c>
      <c r="F99" s="8">
        <f t="shared" si="22"/>
        <v>16350</v>
      </c>
      <c r="G99" s="8">
        <f t="shared" si="23"/>
        <v>8000</v>
      </c>
      <c r="H99" s="9">
        <f t="shared" ca="1" si="24"/>
        <v>3000</v>
      </c>
      <c r="I99" s="9">
        <f t="shared" ca="1" si="25"/>
        <v>900</v>
      </c>
      <c r="J99" s="9">
        <f t="shared" ca="1" si="27"/>
        <v>4450</v>
      </c>
    </row>
    <row r="100" spans="1:10" x14ac:dyDescent="0.3">
      <c r="A100" s="7">
        <v>98</v>
      </c>
      <c r="B100" s="7">
        <f t="shared" si="19"/>
        <v>109</v>
      </c>
      <c r="C100" s="7">
        <f t="shared" ca="1" si="26"/>
        <v>101</v>
      </c>
      <c r="D100" s="7">
        <f t="shared" ca="1" si="28"/>
        <v>100</v>
      </c>
      <c r="E100" s="7">
        <f t="shared" ca="1" si="21"/>
        <v>1</v>
      </c>
      <c r="F100" s="8">
        <f t="shared" si="22"/>
        <v>16350</v>
      </c>
      <c r="G100" s="8">
        <f t="shared" si="23"/>
        <v>8000</v>
      </c>
      <c r="H100" s="9">
        <f t="shared" ca="1" si="24"/>
        <v>3000</v>
      </c>
      <c r="I100" s="9">
        <f t="shared" ca="1" si="25"/>
        <v>300</v>
      </c>
      <c r="J100" s="9">
        <f t="shared" ca="1" si="27"/>
        <v>5050</v>
      </c>
    </row>
    <row r="101" spans="1:10" x14ac:dyDescent="0.3">
      <c r="A101" s="7">
        <v>99</v>
      </c>
      <c r="B101" s="7">
        <f t="shared" si="19"/>
        <v>109</v>
      </c>
      <c r="C101" s="7">
        <f ca="1">_xlfn.BINOM.INV($B$3, 0.95, RAND())</f>
        <v>103</v>
      </c>
      <c r="D101" s="7">
        <f t="shared" ca="1" si="28"/>
        <v>100</v>
      </c>
      <c r="E101" s="7">
        <f t="shared" ca="1" si="21"/>
        <v>3</v>
      </c>
      <c r="F101" s="8">
        <f t="shared" si="22"/>
        <v>16350</v>
      </c>
      <c r="G101" s="8">
        <f t="shared" si="23"/>
        <v>8000</v>
      </c>
      <c r="H101" s="9">
        <f t="shared" ca="1" si="24"/>
        <v>3000</v>
      </c>
      <c r="I101" s="9">
        <f t="shared" ca="1" si="25"/>
        <v>900</v>
      </c>
      <c r="J101" s="9">
        <f ca="1">F101-G101-H101-I101</f>
        <v>4450</v>
      </c>
    </row>
    <row r="102" spans="1:10" x14ac:dyDescent="0.3">
      <c r="A102" s="7">
        <v>100</v>
      </c>
      <c r="B102" s="7">
        <f t="shared" si="19"/>
        <v>109</v>
      </c>
      <c r="C102" s="7">
        <f ca="1">_xlfn.BINOM.INV($B$3, 0.95, RAND())</f>
        <v>105</v>
      </c>
      <c r="D102" s="7">
        <f t="shared" ca="1" si="28"/>
        <v>100</v>
      </c>
      <c r="E102" s="7">
        <f t="shared" ca="1" si="21"/>
        <v>5</v>
      </c>
      <c r="F102" s="8">
        <f t="shared" si="22"/>
        <v>16350</v>
      </c>
      <c r="G102" s="8">
        <f t="shared" si="23"/>
        <v>8000</v>
      </c>
      <c r="H102" s="9">
        <f t="shared" ca="1" si="24"/>
        <v>3000</v>
      </c>
      <c r="I102" s="9">
        <f t="shared" ca="1" si="25"/>
        <v>1500</v>
      </c>
      <c r="J102" s="9">
        <f ca="1">F102-G102-H102-I102</f>
        <v>3850</v>
      </c>
    </row>
  </sheetData>
  <mergeCells count="1">
    <mergeCell ref="M16:P16"/>
  </mergeCells>
  <pageMargins left="0.7" right="0.7" top="0.75" bottom="0.75" header="0.3" footer="0.3"/>
  <pageSetup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57</vt:i4>
      </vt:variant>
    </vt:vector>
  </HeadingPairs>
  <TitlesOfParts>
    <vt:vector size="62" baseType="lpstr">
      <vt:lpstr>About</vt:lpstr>
      <vt:lpstr>1_Solver</vt:lpstr>
      <vt:lpstr>2_Complex_process_issue</vt:lpstr>
      <vt:lpstr>3 - Question</vt:lpstr>
      <vt:lpstr>3 - Data Simulation</vt:lpstr>
      <vt:lpstr>Area_served__A</vt:lpstr>
      <vt:lpstr>Average_distance_between_customers</vt:lpstr>
      <vt:lpstr>'3 - Data Simulation'!Average_show</vt:lpstr>
      <vt:lpstr>'3 - Question'!Average_show</vt:lpstr>
      <vt:lpstr>Construction_cost_warehouse</vt:lpstr>
      <vt:lpstr>'2_Complex_process_issue'!Consultant_analysis_time</vt:lpstr>
      <vt:lpstr>'2_Complex_process_issue'!Consultant_Cost</vt:lpstr>
      <vt:lpstr>'2_Complex_process_issue'!Consultant_Fee</vt:lpstr>
      <vt:lpstr>'2_Complex_process_issue'!Cosmetic</vt:lpstr>
      <vt:lpstr>'3 - Data Simulation'!Cost_per_passenger</vt:lpstr>
      <vt:lpstr>'3 - Question'!Cost_per_passenger</vt:lpstr>
      <vt:lpstr>Costs</vt:lpstr>
      <vt:lpstr>'2_Complex_process_issue'!Current_Product</vt:lpstr>
      <vt:lpstr>'2_Complex_process_issue'!Decision_deadline</vt:lpstr>
      <vt:lpstr>'2_Complex_process_issue'!Does_not_pass</vt:lpstr>
      <vt:lpstr>'3 - Data Simulation'!Empty_plane_cost</vt:lpstr>
      <vt:lpstr>'3 - Question'!Empty_plane_cost</vt:lpstr>
      <vt:lpstr>'2_Complex_process_issue'!EPA_Ruling</vt:lpstr>
      <vt:lpstr>'2_Complex_process_issue'!False_positive_rate__wrong_violation</vt:lpstr>
      <vt:lpstr>'2_Complex_process_issue'!Legislative_vote</vt:lpstr>
      <vt:lpstr>Maintenance_cost_per_warehouse</vt:lpstr>
      <vt:lpstr>'3 - Data Simulation'!Net_per_sale</vt:lpstr>
      <vt:lpstr>'3 - Question'!Net_per_sale</vt:lpstr>
      <vt:lpstr>Orders_per_year</vt:lpstr>
      <vt:lpstr>'3 - Question'!Overbooked_if</vt:lpstr>
      <vt:lpstr>'3 - Question'!Overbooking_fee</vt:lpstr>
      <vt:lpstr>'3 - Data Simulation'!Overbooking_refund_per_passenger</vt:lpstr>
      <vt:lpstr>'3 - Question'!Overbooking_refund_per_passenger</vt:lpstr>
      <vt:lpstr>'2_Complex_process_issue'!P_No_Violation___Leg_passes_w_element</vt:lpstr>
      <vt:lpstr>'2_Complex_process_issue'!P_Says__No_Violation____Actually_No_Violation</vt:lpstr>
      <vt:lpstr>'2_Complex_process_issue'!P_Says__No_Violation____Actually_Violation</vt:lpstr>
      <vt:lpstr>'2_Complex_process_issue'!P_Says__Violation____Actually_No_Violation</vt:lpstr>
      <vt:lpstr>'2_Complex_process_issue'!P_Says__Violation____Actually_Violation</vt:lpstr>
      <vt:lpstr>'2_Complex_process_issue'!P_Violation___Leg_passes_w_element</vt:lpstr>
      <vt:lpstr>'2_Complex_process_issue'!Passes_with_element_regulated</vt:lpstr>
      <vt:lpstr>'2_Complex_process_issue'!Passes_without_element_regulated</vt:lpstr>
      <vt:lpstr>'3 - Question'!Plane_fee</vt:lpstr>
      <vt:lpstr>'2_Complex_process_issue'!Planning_horizon</vt:lpstr>
      <vt:lpstr>'2_Complex_process_issue'!Product_does_not_violate_standards</vt:lpstr>
      <vt:lpstr>'2_Complex_process_issue'!Product_violates_standards</vt:lpstr>
      <vt:lpstr>'2_Complex_process_issue'!Recall_Cost_multiplier</vt:lpstr>
      <vt:lpstr>'3 - Data Simulation'!Seats_available</vt:lpstr>
      <vt:lpstr>'3 - Question'!Seats_available</vt:lpstr>
      <vt:lpstr>Shipping_cost_order___mile</vt:lpstr>
      <vt:lpstr>'3 - Data Simulation'!Ticket_cost</vt:lpstr>
      <vt:lpstr>'3 - Question'!Ticket_cost</vt:lpstr>
      <vt:lpstr>'2_Complex_process_issue'!Total_consultant_risk</vt:lpstr>
      <vt:lpstr>'3 - Question'!Total_income</vt:lpstr>
      <vt:lpstr>'3 - Question'!Total_overbooked</vt:lpstr>
      <vt:lpstr>'3 - Question'!Total_profit</vt:lpstr>
      <vt:lpstr>'3 - Question'!Total_tickets_sold</vt:lpstr>
      <vt:lpstr>'2_Complex_process_issue'!True_positive_rate__correct_violation</vt:lpstr>
      <vt:lpstr>'2_Complex_process_issue'!User_Experience</vt:lpstr>
      <vt:lpstr>Warehouse_construction_cost</vt:lpstr>
      <vt:lpstr>Warehouse_maintenance_cost</vt:lpstr>
      <vt:lpstr>Warehouses__n</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Maas</dc:creator>
  <cp:lastModifiedBy>Jonathan Maas</cp:lastModifiedBy>
  <cp:lastPrinted>2025-11-21T18:03:32Z</cp:lastPrinted>
  <dcterms:created xsi:type="dcterms:W3CDTF">2015-06-05T18:17:20Z</dcterms:created>
  <dcterms:modified xsi:type="dcterms:W3CDTF">2025-11-21T18:03:50Z</dcterms:modified>
</cp:coreProperties>
</file>